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2.xml" ContentType="application/vnd.openxmlformats-officedocument.spreadsheetml.comments+xml"/>
  <Override PartName="/xl/drawings/drawing11.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2.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https://ebpgroup.sharepoint.com/sites/EBPChileTest/Freigegebene Dokumente/220172_Minergie Chile/02_Certificacion/02_Instrumentos y Checklists/Ficha_Minergie/FichaMinergie_Valida/"/>
    </mc:Choice>
  </mc:AlternateContent>
  <xr:revisionPtr revIDLastSave="5529" documentId="8_{A70BD017-0483-4BBC-B49A-6D601744B0C7}" xr6:coauthVersionLast="47" xr6:coauthVersionMax="47" xr10:uidLastSave="{A99847B2-B307-4F8E-A1DE-2DAF68AB380E}"/>
  <workbookProtection workbookAlgorithmName="SHA-512" workbookHashValue="zxMRN/BcOINMJnJA3+eAUrb2vQvJc5T/dNBmHQN+GjXm/z1i1LSN0A6KjsdnlHMHF/DScDcPIdQe7J3AuyDSlg==" workbookSaltValue="KRd090QxBKkKLUTUsw5caA==" workbookSpinCount="100000" lockStructure="1"/>
  <bookViews>
    <workbookView xWindow="-28920" yWindow="-120" windowWidth="29040" windowHeight="15840" tabRatio="763" xr2:uid="{6401802D-A186-430A-A5FF-9AF6D998E0DA}"/>
  </bookViews>
  <sheets>
    <sheet name="Intro" sheetId="1" r:id="rId1"/>
    <sheet name="A1" sheetId="2" r:id="rId2"/>
    <sheet name="A2" sheetId="4" r:id="rId3"/>
    <sheet name="A3" sheetId="5" r:id="rId4"/>
    <sheet name="A4" sheetId="7" r:id="rId5"/>
    <sheet name="A5" sheetId="17" r:id="rId6"/>
    <sheet name="Formula limites" sheetId="18" state="hidden" r:id="rId7"/>
    <sheet name="A6" sheetId="8" r:id="rId8"/>
    <sheet name="A7" sheetId="9" r:id="rId9"/>
    <sheet name="A7.a" sheetId="13" r:id="rId10"/>
    <sheet name="A7.b" sheetId="14" r:id="rId11"/>
    <sheet name="A8.b" sheetId="15" r:id="rId12"/>
    <sheet name="A9" sheetId="19" r:id="rId13"/>
    <sheet name="A9.a" sheetId="21" r:id="rId14"/>
    <sheet name="A9.b" sheetId="22" r:id="rId15"/>
    <sheet name="T2" sheetId="12" r:id="rId16"/>
    <sheet name="T6" sheetId="23" r:id="rId17"/>
    <sheet name="Paquetes_A4" sheetId="20" state="hidden" r:id="rId18"/>
    <sheet name="Datos_A7" sheetId="3" state="hidden" r:id="rId19"/>
    <sheet name="Datos 2" sheetId="10" state="hidden" r:id="rId20"/>
    <sheet name="DAP" sheetId="16" state="hidden" r:id="rId21"/>
  </sheets>
  <externalReferences>
    <externalReference r:id="rId22"/>
  </externalReferences>
  <definedNames>
    <definedName name="A4_Datos.de.entrada" localSheetId="13">Tabla611[#All]</definedName>
    <definedName name="A4_Datos.de.entrada" localSheetId="14">Tabla611[#All]</definedName>
    <definedName name="A4_Datos.de.entrada" localSheetId="16">Tabla611[#All]</definedName>
    <definedName name="A4_Datos.de.entrada">Tabla611[#All]</definedName>
    <definedName name="A4_Paquetes" localSheetId="13">Tabla2[]</definedName>
    <definedName name="A4_Paquetes" localSheetId="14">Tabla2[]</definedName>
    <definedName name="A4_Paquetes" localSheetId="16">Tabla2[]</definedName>
    <definedName name="A4_Paquetes">Tabla2[]</definedName>
    <definedName name="A5Paquetes" localSheetId="13">Tabla2[]</definedName>
    <definedName name="A5Paquetes" localSheetId="14">Tabla2[]</definedName>
    <definedName name="A5Paquetes" localSheetId="16">Tabla2[]</definedName>
    <definedName name="A5Paquetes">Tabla2[]</definedName>
    <definedName name="Andina">#REF!</definedName>
    <definedName name="Biblioteca.Minergie_A4" localSheetId="13">Biblioteca.Minergie.Paquetes[Biblioteca.Minergie.Paquetes]</definedName>
    <definedName name="Biblioteca.Minergie_A4" localSheetId="14">Biblioteca.Minergie.Paquetes[Biblioteca.Minergie.Paquetes]</definedName>
    <definedName name="Biblioteca.Minergie_A4" localSheetId="16">Biblioteca.Minergie.Paquetes[Biblioteca.Minergie.Paquetes]</definedName>
    <definedName name="Biblioteca.Minergie_A4">Biblioteca.Minergie.Paquetes[Biblioteca.Minergie.Paquetes]</definedName>
    <definedName name="Biblioteca.Personal." localSheetId="13">Biblioteca.Personal.Paquetes[Biblioteca.Personal.Paquetes]</definedName>
    <definedName name="Biblioteca.Personal." localSheetId="14">Biblioteca.Personal.Paquetes[Biblioteca.Personal.Paquetes]</definedName>
    <definedName name="Biblioteca.Personal." localSheetId="16">Biblioteca.Personal.Paquetes[Biblioteca.Personal.Paquetes]</definedName>
    <definedName name="Biblioteca.Personal.">Biblioteca.Personal.Paquetes[Biblioteca.Personal.Paquetes]</definedName>
    <definedName name="Biblioteca.Personal.A4" localSheetId="13">Biblioteca.Personal.Paquetes[Biblioteca.Personal.Paquetes]</definedName>
    <definedName name="Biblioteca.Personal.A4" localSheetId="14">Biblioteca.Personal.Paquetes[Biblioteca.Personal.Paquetes]</definedName>
    <definedName name="Biblioteca.Personal.A4" localSheetId="16">Biblioteca.Personal.Paquetes[Biblioteca.Personal.Paquetes]</definedName>
    <definedName name="Biblioteca.Personal.A4">Biblioteca.Personal.Paquetes[Biblioteca.Personal.Paquetes]</definedName>
    <definedName name="Central_Interior">#REF!</definedName>
    <definedName name="Central_Litoral">#REF!</definedName>
    <definedName name="Material.Biblioteca.Personal_">#REF!</definedName>
    <definedName name="Mixto">Otros.sistemas[Mixto]</definedName>
    <definedName name="Norte_Desertica">#REF!</definedName>
    <definedName name="Norte_Litoral">#REF!</definedName>
    <definedName name="Norte_Valles_Transversales">#REF!</definedName>
    <definedName name="Otros.sistemas.">Otros.sistemas[[#All],[Otros.sistemas]]</definedName>
    <definedName name="_xlnm.Print_Area" localSheetId="4">'A4'!$A$1:$D$46</definedName>
    <definedName name="_xlnm.Print_Area" localSheetId="5">'A5'!#REF!</definedName>
    <definedName name="_xlnm.Print_Area" localSheetId="7">'A6'!$A$1:$G$18</definedName>
    <definedName name="_xlnm.Print_Area" localSheetId="8">'A7'!$A$1:$J$80</definedName>
    <definedName name="_xlnm.Print_Area" localSheetId="9">'A7.a'!$A$1:$E$22</definedName>
    <definedName name="_xlnm.Print_Area" localSheetId="15">'T2'!$A$1:$H$40</definedName>
    <definedName name="_xlnm.Print_Titles" localSheetId="8">'A7'!$19:$19</definedName>
    <definedName name="Sur_Extremo">#REF!</definedName>
    <definedName name="Sur_Interior">#REF!</definedName>
    <definedName name="Sur_Litoral">#REF!</definedName>
    <definedName name="Tipo.Energético.Minergie" localSheetId="12">Bilioteca.Minergie[Tipo.Energético.Minergie]</definedName>
    <definedName name="Tipo.Energético.Minergie" localSheetId="13">Bilioteca.Minergie[Tipo.Energético.Minergie]</definedName>
    <definedName name="Tipo.Energético.Minergie" localSheetId="14">Bilioteca.Minergie[Tipo.Energético.Minergie]</definedName>
    <definedName name="Tipo.Energético.Minergie" localSheetId="16">Bilioteca.Minergie[Tipo.Energético.Minergie]</definedName>
    <definedName name="Tipo.Energético.Minergie">Bilioteca.Minergie[Tipo.Energético.Minergie]</definedName>
    <definedName name="Zona_Climatic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1" l="1"/>
  <c r="E15" i="21"/>
  <c r="F5" i="21"/>
  <c r="H7" i="7"/>
  <c r="E39" i="17"/>
  <c r="F57" i="4"/>
  <c r="I58" i="9" a="1"/>
  <c r="I58" i="9" s="1"/>
  <c r="H58" i="9" a="1"/>
  <c r="H58" i="9" s="1"/>
  <c r="G58" i="9" a="1"/>
  <c r="G58" i="9" s="1"/>
  <c r="I57" i="9" a="1"/>
  <c r="I57" i="9" s="1"/>
  <c r="H57" i="9" a="1"/>
  <c r="H57" i="9" s="1"/>
  <c r="G57" i="9" a="1"/>
  <c r="G57" i="9" s="1"/>
  <c r="I56" i="9" a="1"/>
  <c r="I56" i="9" s="1"/>
  <c r="H56" i="9" a="1"/>
  <c r="H56" i="9" s="1"/>
  <c r="G56" i="9" a="1"/>
  <c r="G56" i="9" s="1"/>
  <c r="I55" i="9" a="1"/>
  <c r="I55" i="9" s="1"/>
  <c r="H55" i="9" a="1"/>
  <c r="H55" i="9" s="1"/>
  <c r="G55" i="9" a="1"/>
  <c r="G55" i="9" s="1"/>
  <c r="I54" i="9" a="1"/>
  <c r="I54" i="9" s="1"/>
  <c r="H54" i="9" a="1"/>
  <c r="H54" i="9" s="1"/>
  <c r="G54" i="9" a="1"/>
  <c r="G54" i="9" s="1"/>
  <c r="I53" i="9" a="1"/>
  <c r="I53" i="9" s="1"/>
  <c r="H53" i="9" a="1"/>
  <c r="H53" i="9" s="1"/>
  <c r="G53" i="9" a="1"/>
  <c r="G53" i="9" s="1"/>
  <c r="I52" i="9" a="1"/>
  <c r="I52" i="9" s="1"/>
  <c r="H52" i="9" a="1"/>
  <c r="H52" i="9" s="1"/>
  <c r="G52" i="9" a="1"/>
  <c r="G52" i="9" s="1"/>
  <c r="I51" i="9" a="1"/>
  <c r="I51" i="9" s="1"/>
  <c r="H51" i="9" a="1"/>
  <c r="H51" i="9" s="1"/>
  <c r="G51" i="9" a="1"/>
  <c r="G51" i="9" s="1"/>
  <c r="I50" i="9" a="1"/>
  <c r="I50" i="9" s="1"/>
  <c r="H50" i="9" a="1"/>
  <c r="H50" i="9" s="1"/>
  <c r="G50" i="9" a="1"/>
  <c r="G50" i="9" s="1"/>
  <c r="I49" i="9" a="1"/>
  <c r="I49" i="9" s="1"/>
  <c r="H49" i="9" a="1"/>
  <c r="H49" i="9" s="1"/>
  <c r="G49" i="9" a="1"/>
  <c r="G49" i="9" s="1"/>
  <c r="I48" i="9" a="1"/>
  <c r="I48" i="9" s="1"/>
  <c r="H48" i="9" a="1"/>
  <c r="H48" i="9" s="1"/>
  <c r="G48" i="9" a="1"/>
  <c r="G48" i="9" s="1"/>
  <c r="I47" i="9" a="1"/>
  <c r="I47" i="9" s="1"/>
  <c r="H47" i="9" a="1"/>
  <c r="H47" i="9" s="1"/>
  <c r="G47" i="9" a="1"/>
  <c r="G47" i="9" s="1"/>
  <c r="H121" i="16" l="1"/>
  <c r="H122" i="16"/>
  <c r="H119" i="16"/>
  <c r="H120" i="16"/>
  <c r="H116" i="16"/>
  <c r="H117" i="16"/>
  <c r="H118"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66" i="12" l="1" a="1"/>
  <c r="H66" i="12" s="1"/>
  <c r="D80" i="12"/>
  <c r="J7" i="21"/>
  <c r="K7" i="21" s="1"/>
  <c r="J8" i="21"/>
  <c r="K8" i="21" s="1"/>
  <c r="J9" i="21"/>
  <c r="K9" i="21" s="1"/>
  <c r="J10" i="21"/>
  <c r="K10" i="21" s="1"/>
  <c r="J5" i="21"/>
  <c r="K5" i="21" s="1"/>
  <c r="J12" i="21"/>
  <c r="K12" i="21" s="1"/>
  <c r="J6" i="21"/>
  <c r="B37" i="3"/>
  <c r="K6" i="21" l="1"/>
  <c r="H65" i="12" a="1"/>
  <c r="H65" i="12" s="1"/>
  <c r="D17" i="12"/>
  <c r="D68" i="12" a="1"/>
  <c r="D68" i="12" s="1"/>
  <c r="E69" i="12" a="1"/>
  <c r="E69" i="12" s="1"/>
  <c r="G66" i="12"/>
  <c r="G65" i="12"/>
  <c r="G23" i="8"/>
  <c r="G6" i="8"/>
  <c r="H72" i="12"/>
  <c r="E72" i="12" s="1" a="1"/>
  <c r="E72" i="12" s="1"/>
  <c r="E60" i="12" a="1"/>
  <c r="E60" i="12" s="1"/>
  <c r="D72" i="12" a="1"/>
  <c r="D72" i="12" s="1"/>
  <c r="D59" i="12"/>
  <c r="G59" i="7"/>
  <c r="G57" i="7"/>
  <c r="K21" i="20"/>
  <c r="K22" i="20"/>
  <c r="K23" i="20"/>
  <c r="K24" i="20"/>
  <c r="K25" i="20"/>
  <c r="K26" i="20"/>
  <c r="K27" i="20"/>
  <c r="K28" i="20"/>
  <c r="K29" i="20"/>
  <c r="K30" i="20"/>
  <c r="K31" i="20"/>
  <c r="K32" i="20"/>
  <c r="K33" i="20"/>
  <c r="K4" i="20"/>
  <c r="K5" i="20"/>
  <c r="K6" i="20"/>
  <c r="K7" i="20"/>
  <c r="K8" i="20"/>
  <c r="K9" i="20"/>
  <c r="K10" i="20"/>
  <c r="K11" i="20"/>
  <c r="K12" i="20"/>
  <c r="K13" i="20"/>
  <c r="K14" i="20"/>
  <c r="K15" i="20"/>
  <c r="K16" i="20"/>
  <c r="K17" i="20"/>
  <c r="K18" i="20"/>
  <c r="K19" i="20"/>
  <c r="K20" i="20"/>
  <c r="K3" i="20"/>
  <c r="G9" i="7"/>
  <c r="G8" i="7"/>
  <c r="D11" i="7"/>
  <c r="G160" i="7" s="1"/>
  <c r="D10" i="7"/>
  <c r="G135" i="7" s="1"/>
  <c r="D9" i="7"/>
  <c r="D8" i="7"/>
  <c r="G85" i="7" s="1"/>
  <c r="C8" i="7"/>
  <c r="G84" i="7" s="1"/>
  <c r="C11" i="7"/>
  <c r="G159" i="7" s="1"/>
  <c r="C10" i="7"/>
  <c r="G134" i="7" s="1"/>
  <c r="C9" i="7"/>
  <c r="G109" i="7" s="1"/>
  <c r="D24" i="12"/>
  <c r="H8" i="7"/>
  <c r="H9" i="7"/>
  <c r="H10" i="7"/>
  <c r="H11" i="7"/>
  <c r="H12" i="7"/>
  <c r="H13" i="7"/>
  <c r="H14" i="7"/>
  <c r="H15" i="7"/>
  <c r="H16" i="7"/>
  <c r="G60" i="7"/>
  <c r="G185" i="7"/>
  <c r="G285" i="7"/>
  <c r="E6" i="12" a="1"/>
  <c r="E6" i="12" s="1"/>
  <c r="H70" i="16"/>
  <c r="I107" i="16"/>
  <c r="I108" i="16"/>
  <c r="I109" i="16"/>
  <c r="I110" i="16"/>
  <c r="I111" i="16"/>
  <c r="I112" i="16"/>
  <c r="I113" i="16"/>
  <c r="I114" i="16"/>
  <c r="I115" i="16"/>
  <c r="G286" i="7"/>
  <c r="G284" i="7"/>
  <c r="G283" i="7"/>
  <c r="G282" i="7"/>
  <c r="G261" i="7"/>
  <c r="G260" i="7"/>
  <c r="G259" i="7"/>
  <c r="G258" i="7"/>
  <c r="G257" i="7"/>
  <c r="G236" i="7"/>
  <c r="G235" i="7"/>
  <c r="G234" i="7"/>
  <c r="G233" i="7"/>
  <c r="G232" i="7"/>
  <c r="G211" i="7"/>
  <c r="G210" i="7"/>
  <c r="G209" i="7"/>
  <c r="G208" i="7"/>
  <c r="G207" i="7"/>
  <c r="G186" i="7"/>
  <c r="G184" i="7"/>
  <c r="G183" i="7"/>
  <c r="G182" i="7"/>
  <c r="G136" i="7"/>
  <c r="G133" i="7"/>
  <c r="G278" i="7" a="1"/>
  <c r="G278" i="7" s="1"/>
  <c r="G277" i="7" a="1"/>
  <c r="G277" i="7" s="1"/>
  <c r="G276" i="7" a="1"/>
  <c r="G276" i="7" s="1"/>
  <c r="G275" i="7" a="1"/>
  <c r="G275" i="7" s="1"/>
  <c r="G228" i="7" a="1"/>
  <c r="G228" i="7" s="1"/>
  <c r="G227" i="7" a="1"/>
  <c r="G227" i="7" s="1"/>
  <c r="G226" i="7" a="1"/>
  <c r="G226" i="7" s="1"/>
  <c r="G225" i="7" a="1"/>
  <c r="G225" i="7" s="1"/>
  <c r="G161" i="7"/>
  <c r="G132" i="7"/>
  <c r="G111" i="7"/>
  <c r="G108" i="7"/>
  <c r="G107" i="7"/>
  <c r="G86" i="7"/>
  <c r="G83" i="7"/>
  <c r="G82" i="7"/>
  <c r="G110" i="7" l="1"/>
  <c r="G112" i="7" s="1"/>
  <c r="E8" i="12"/>
  <c r="E23" i="12" a="1"/>
  <c r="E23" i="12" s="1"/>
  <c r="E79" i="12" a="1"/>
  <c r="E79" i="12" s="1"/>
  <c r="E75" i="12" a="1"/>
  <c r="E75" i="12" s="1"/>
  <c r="E7" i="12" a="1"/>
  <c r="E7" i="12" s="1"/>
  <c r="E41" i="12" a="1"/>
  <c r="E41" i="12" s="1"/>
  <c r="E15" i="12" a="1"/>
  <c r="E15" i="12" s="1"/>
  <c r="E35" i="12" a="1"/>
  <c r="E35" i="12" s="1"/>
  <c r="E42" i="12" a="1"/>
  <c r="E42" i="12" s="1"/>
  <c r="E16" i="12" a="1"/>
  <c r="E16" i="12" s="1"/>
  <c r="E24" i="12" a="1"/>
  <c r="E24" i="12" s="1"/>
  <c r="E36" i="12" a="1"/>
  <c r="E36" i="12" s="1"/>
  <c r="E49" i="12" a="1"/>
  <c r="E49" i="12" s="1"/>
  <c r="E17" i="12" a="1"/>
  <c r="E17" i="12" s="1"/>
  <c r="E38" i="12" a="1"/>
  <c r="E38" i="12" s="1"/>
  <c r="E51" i="12" a="1"/>
  <c r="E51" i="12" s="1"/>
  <c r="E20" i="12" a="1"/>
  <c r="E20" i="12" s="1"/>
  <c r="E59" i="12" a="1"/>
  <c r="E59" i="12" s="1"/>
  <c r="E74" i="12" a="1"/>
  <c r="E74" i="12" s="1"/>
  <c r="E80" i="12" a="1"/>
  <c r="E80" i="12" s="1"/>
  <c r="E62" i="12" a="1"/>
  <c r="E62" i="12" s="1"/>
  <c r="E65" i="12" a="1"/>
  <c r="E65" i="12" s="1"/>
  <c r="E78" i="12" a="1"/>
  <c r="E78" i="12" s="1"/>
  <c r="E57" i="12" a="1"/>
  <c r="E57" i="12" s="1"/>
  <c r="E68" i="12" a="1"/>
  <c r="E68" i="12" s="1"/>
  <c r="E58" i="12" a="1"/>
  <c r="E58" i="12" s="1"/>
  <c r="D48" i="12" a="1"/>
  <c r="D48" i="12" s="1"/>
  <c r="G187" i="7"/>
  <c r="G237" i="7"/>
  <c r="G262" i="7"/>
  <c r="G137" i="7"/>
  <c r="G287" i="7"/>
  <c r="G212" i="7"/>
  <c r="G87" i="7"/>
  <c r="D44" i="16" l="1"/>
  <c r="D51" i="16" l="1"/>
  <c r="D50" i="16"/>
  <c r="F18" i="9" l="1"/>
  <c r="G18" i="9" s="1"/>
  <c r="D4" i="15" l="1"/>
  <c r="C4" i="15"/>
  <c r="G158" i="7" l="1"/>
  <c r="G157" i="7"/>
  <c r="G61" i="7"/>
  <c r="G58" i="7"/>
  <c r="G62" i="7" s="1"/>
  <c r="G100" i="7" a="1"/>
  <c r="G100" i="7" s="1"/>
  <c r="F19" i="9"/>
  <c r="G19" i="9" s="1"/>
  <c r="F17" i="9"/>
  <c r="G17" i="9" s="1"/>
  <c r="F16" i="9"/>
  <c r="G16" i="9" s="1"/>
  <c r="F15" i="9"/>
  <c r="G15" i="9" s="1"/>
  <c r="G250" i="7" a="1"/>
  <c r="G250" i="7" s="1"/>
  <c r="G251" i="7" a="1"/>
  <c r="G251" i="7" s="1"/>
  <c r="G253" i="7" a="1"/>
  <c r="G253" i="7" s="1"/>
  <c r="G252" i="7" a="1"/>
  <c r="G252" i="7" s="1"/>
  <c r="G240" i="7"/>
  <c r="G241" i="7" s="1"/>
  <c r="G203" i="7" a="1"/>
  <c r="G203" i="7" s="1"/>
  <c r="G202" i="7" a="1"/>
  <c r="G202" i="7" s="1"/>
  <c r="G201" i="7" a="1"/>
  <c r="G201" i="7" s="1"/>
  <c r="G200" i="7" a="1"/>
  <c r="G200" i="7" s="1"/>
  <c r="G178" i="7" a="1"/>
  <c r="G178" i="7" s="1"/>
  <c r="G177" i="7" a="1"/>
  <c r="G177" i="7" s="1"/>
  <c r="G176" i="7" a="1"/>
  <c r="G176" i="7" s="1"/>
  <c r="G175" i="7" a="1"/>
  <c r="G175" i="7" s="1"/>
  <c r="G150" i="7" a="1"/>
  <c r="G150" i="7" s="1"/>
  <c r="G125" i="7" a="1"/>
  <c r="G125" i="7" s="1"/>
  <c r="G75" i="7" a="1"/>
  <c r="G75" i="7" s="1"/>
  <c r="G50" i="7" a="1"/>
  <c r="G50" i="7" s="1"/>
  <c r="C27" i="17"/>
  <c r="E97" i="12" a="1"/>
  <c r="E97" i="12" s="1"/>
  <c r="H28" i="12"/>
  <c r="E28" i="12" s="1" a="1"/>
  <c r="E28" i="12" s="1"/>
  <c r="G162" i="7" l="1"/>
  <c r="G265" i="7"/>
  <c r="G267" i="7" s="1"/>
  <c r="G215" i="7"/>
  <c r="G217" i="7" s="1"/>
  <c r="G20" i="9"/>
  <c r="D72" i="9" s="1"/>
  <c r="C24" i="7"/>
  <c r="C25" i="7"/>
  <c r="C26" i="7"/>
  <c r="C27" i="7"/>
  <c r="C28" i="7"/>
  <c r="C29" i="7"/>
  <c r="D72" i="16"/>
  <c r="E72" i="16" s="1"/>
  <c r="D70" i="16"/>
  <c r="E70" i="16" s="1"/>
  <c r="D69" i="16"/>
  <c r="E69" i="16" s="1"/>
  <c r="D68" i="16"/>
  <c r="E68" i="16" s="1"/>
  <c r="G266" i="7" l="1"/>
  <c r="G268" i="7"/>
  <c r="F28" i="7"/>
  <c r="G218" i="7"/>
  <c r="F26" i="7"/>
  <c r="G7" i="8"/>
  <c r="G8" i="8"/>
  <c r="G9" i="8"/>
  <c r="G10" i="8"/>
  <c r="G11" i="8"/>
  <c r="G12" i="8"/>
  <c r="G13" i="8"/>
  <c r="G14" i="8"/>
  <c r="G15" i="8"/>
  <c r="G16" i="8"/>
  <c r="G17" i="8"/>
  <c r="G18" i="8"/>
  <c r="F15" i="15" l="1"/>
  <c r="F11" i="15"/>
  <c r="F12" i="15"/>
  <c r="F13" i="15"/>
  <c r="F14" i="15"/>
  <c r="F10" i="15"/>
  <c r="F9" i="15"/>
  <c r="F6" i="15"/>
  <c r="F5" i="15"/>
  <c r="F5" i="14"/>
  <c r="F6" i="14"/>
  <c r="F7" i="14"/>
  <c r="F8" i="14"/>
  <c r="F10" i="14"/>
  <c r="F11" i="14"/>
  <c r="F12" i="14"/>
  <c r="F13" i="14"/>
  <c r="F14" i="14"/>
  <c r="F15" i="14"/>
  <c r="F16" i="14"/>
  <c r="F17" i="14"/>
  <c r="F19" i="14"/>
  <c r="F20" i="14"/>
  <c r="F21" i="14"/>
  <c r="E18" i="13"/>
  <c r="E19" i="13"/>
  <c r="E20" i="13"/>
  <c r="E14" i="13"/>
  <c r="E15" i="13"/>
  <c r="E16" i="13"/>
  <c r="E11" i="13"/>
  <c r="E12" i="13"/>
  <c r="E10" i="13"/>
  <c r="E6" i="13"/>
  <c r="E7" i="13"/>
  <c r="E8" i="13"/>
  <c r="E5" i="13"/>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J33" i="20"/>
  <c r="H33" i="20"/>
  <c r="J32" i="20"/>
  <c r="H32" i="20"/>
  <c r="J31" i="20"/>
  <c r="H31" i="20"/>
  <c r="J30" i="20"/>
  <c r="H30" i="20"/>
  <c r="J29" i="20"/>
  <c r="H29" i="20"/>
  <c r="J28" i="20"/>
  <c r="H28" i="20"/>
  <c r="J27" i="20"/>
  <c r="H27" i="20"/>
  <c r="J26" i="20"/>
  <c r="H26" i="20"/>
  <c r="J25" i="20"/>
  <c r="H25" i="20"/>
  <c r="J24" i="20"/>
  <c r="H24" i="20"/>
  <c r="J23" i="20"/>
  <c r="H23" i="20"/>
  <c r="J22" i="20"/>
  <c r="J20" i="20"/>
  <c r="H20" i="20"/>
  <c r="J19" i="20"/>
  <c r="H19" i="20"/>
  <c r="J18" i="20"/>
  <c r="H18" i="20"/>
  <c r="J17" i="20"/>
  <c r="H17" i="20"/>
  <c r="J16" i="20"/>
  <c r="H16" i="20"/>
  <c r="J15" i="20"/>
  <c r="H15" i="20"/>
  <c r="J14" i="20"/>
  <c r="H14" i="20"/>
  <c r="J13" i="20"/>
  <c r="J11" i="20"/>
  <c r="J10" i="20"/>
  <c r="J9" i="20"/>
  <c r="J8" i="20"/>
  <c r="J7" i="20"/>
  <c r="J6" i="20"/>
  <c r="J5" i="20"/>
  <c r="J4" i="20"/>
  <c r="J3" i="20"/>
  <c r="G19" i="19" a="1"/>
  <c r="G19" i="19" s="1"/>
  <c r="G18" i="19" a="1"/>
  <c r="G18" i="19" s="1"/>
  <c r="G17" i="19" a="1"/>
  <c r="G17" i="19" s="1"/>
  <c r="G16" i="19" a="1"/>
  <c r="G16" i="19" s="1"/>
  <c r="G15" i="19" a="1"/>
  <c r="G15" i="19" s="1"/>
  <c r="G14" i="19" a="1"/>
  <c r="G14" i="19" s="1"/>
  <c r="H10" i="19" a="1"/>
  <c r="H10" i="19" s="1"/>
  <c r="H9" i="19" a="1"/>
  <c r="H9" i="19" s="1"/>
  <c r="H8" i="19" a="1"/>
  <c r="H8" i="19" s="1"/>
  <c r="H7" i="19" a="1"/>
  <c r="H7" i="19" s="1"/>
  <c r="H6" i="19" a="1"/>
  <c r="H6" i="19" s="1"/>
  <c r="H5" i="19" a="1"/>
  <c r="H5" i="19" s="1"/>
  <c r="C23" i="7"/>
  <c r="C22" i="7"/>
  <c r="C21" i="7"/>
  <c r="C20" i="7"/>
  <c r="I26" i="9" a="1"/>
  <c r="I26" i="9" s="1"/>
  <c r="I27" i="9" a="1"/>
  <c r="I27" i="9" s="1"/>
  <c r="I28" i="9" a="1"/>
  <c r="I28" i="9" s="1"/>
  <c r="I29" i="9" a="1"/>
  <c r="I29" i="9" s="1"/>
  <c r="I30" i="9" a="1"/>
  <c r="I30" i="9" s="1"/>
  <c r="I31" i="9" a="1"/>
  <c r="I31" i="9" s="1"/>
  <c r="I32" i="9" a="1"/>
  <c r="I32" i="9" s="1"/>
  <c r="I33" i="9" a="1"/>
  <c r="I33" i="9" s="1"/>
  <c r="I34" i="9" a="1"/>
  <c r="I34" i="9" s="1"/>
  <c r="I35" i="9" a="1"/>
  <c r="I35" i="9" s="1"/>
  <c r="I36" i="9" a="1"/>
  <c r="I36" i="9" s="1"/>
  <c r="I37" i="9" a="1"/>
  <c r="I37" i="9" s="1"/>
  <c r="I38" i="9" a="1"/>
  <c r="I38" i="9" s="1"/>
  <c r="I39" i="9" a="1"/>
  <c r="I39" i="9" s="1"/>
  <c r="I40" i="9" a="1"/>
  <c r="I40" i="9" s="1"/>
  <c r="I41" i="9" a="1"/>
  <c r="I41" i="9" s="1"/>
  <c r="I42" i="9" a="1"/>
  <c r="I42" i="9" s="1"/>
  <c r="I43" i="9" a="1"/>
  <c r="I43" i="9" s="1"/>
  <c r="I44" i="9" a="1"/>
  <c r="I44" i="9" s="1"/>
  <c r="I45" i="9" a="1"/>
  <c r="I45" i="9" s="1"/>
  <c r="K45" i="9" s="1"/>
  <c r="I46" i="9" a="1"/>
  <c r="I46" i="9" s="1"/>
  <c r="K46" i="9" s="1"/>
  <c r="K47" i="9"/>
  <c r="K48" i="9"/>
  <c r="K49" i="9"/>
  <c r="K50" i="9"/>
  <c r="K51" i="9"/>
  <c r="K52" i="9"/>
  <c r="K53" i="9"/>
  <c r="K54" i="9"/>
  <c r="K55" i="9"/>
  <c r="K56" i="9"/>
  <c r="K57" i="9"/>
  <c r="K58" i="9"/>
  <c r="I59" i="9" a="1"/>
  <c r="I59" i="9" s="1"/>
  <c r="K59" i="9" s="1"/>
  <c r="I60" i="9" a="1"/>
  <c r="I60" i="9" s="1"/>
  <c r="K60" i="9" s="1"/>
  <c r="I61" i="9" a="1"/>
  <c r="I61" i="9" s="1"/>
  <c r="K61" i="9" s="1"/>
  <c r="I25" i="9" a="1"/>
  <c r="I25" i="9" s="1"/>
  <c r="H26" i="9" a="1"/>
  <c r="H26" i="9" s="1"/>
  <c r="H27" i="9" a="1"/>
  <c r="H27" i="9" s="1"/>
  <c r="H28" i="9" a="1"/>
  <c r="H28" i="9" s="1"/>
  <c r="H29" i="9" a="1"/>
  <c r="H29" i="9" s="1"/>
  <c r="H30" i="9" a="1"/>
  <c r="H30" i="9" s="1"/>
  <c r="H31" i="9" a="1"/>
  <c r="H31" i="9" s="1"/>
  <c r="H32" i="9" a="1"/>
  <c r="H32" i="9" s="1"/>
  <c r="H33" i="9" a="1"/>
  <c r="H33" i="9" s="1"/>
  <c r="H34" i="9" a="1"/>
  <c r="H34" i="9" s="1"/>
  <c r="H35" i="9" a="1"/>
  <c r="H35" i="9" s="1"/>
  <c r="H36" i="9" a="1"/>
  <c r="H36" i="9" s="1"/>
  <c r="H37" i="9" a="1"/>
  <c r="H37" i="9" s="1"/>
  <c r="H38" i="9" a="1"/>
  <c r="H38" i="9" s="1"/>
  <c r="H39" i="9" a="1"/>
  <c r="H39" i="9" s="1"/>
  <c r="H40" i="9" a="1"/>
  <c r="H40" i="9" s="1"/>
  <c r="H41" i="9" a="1"/>
  <c r="H41" i="9" s="1"/>
  <c r="H42" i="9" a="1"/>
  <c r="H42" i="9" s="1"/>
  <c r="H43" i="9" a="1"/>
  <c r="H43" i="9" s="1"/>
  <c r="H44" i="9" a="1"/>
  <c r="H44" i="9" s="1"/>
  <c r="H45" i="9" a="1"/>
  <c r="H45" i="9" s="1"/>
  <c r="H46" i="9" a="1"/>
  <c r="H46" i="9" s="1"/>
  <c r="H59" i="9" a="1"/>
  <c r="H59" i="9" s="1"/>
  <c r="H60" i="9" a="1"/>
  <c r="H60" i="9" s="1"/>
  <c r="H61" i="9" a="1"/>
  <c r="H61" i="9" s="1"/>
  <c r="H25" i="9" a="1"/>
  <c r="H25" i="9" s="1"/>
  <c r="G26" i="9" a="1"/>
  <c r="G26" i="9" s="1"/>
  <c r="G27" i="9" a="1"/>
  <c r="G27" i="9" s="1"/>
  <c r="G28" i="9" a="1"/>
  <c r="G28" i="9" s="1"/>
  <c r="G29" i="9" a="1"/>
  <c r="G29" i="9" s="1"/>
  <c r="G30" i="9" a="1"/>
  <c r="G30" i="9" s="1"/>
  <c r="G31" i="9" a="1"/>
  <c r="G31" i="9" s="1"/>
  <c r="G32" i="9" a="1"/>
  <c r="G32" i="9" s="1"/>
  <c r="G33" i="9" a="1"/>
  <c r="G33" i="9" s="1"/>
  <c r="G34" i="9" a="1"/>
  <c r="G34" i="9" s="1"/>
  <c r="G35" i="9" a="1"/>
  <c r="G35" i="9" s="1"/>
  <c r="G36" i="9" a="1"/>
  <c r="G36" i="9" s="1"/>
  <c r="G37" i="9" a="1"/>
  <c r="G37" i="9" s="1"/>
  <c r="G38" i="9" a="1"/>
  <c r="G38" i="9" s="1"/>
  <c r="G39" i="9" a="1"/>
  <c r="G39" i="9" s="1"/>
  <c r="G40" i="9" a="1"/>
  <c r="G40" i="9" s="1"/>
  <c r="G41" i="9" a="1"/>
  <c r="G41" i="9" s="1"/>
  <c r="G42" i="9" a="1"/>
  <c r="G42" i="9" s="1"/>
  <c r="G43" i="9" a="1"/>
  <c r="G43" i="9" s="1"/>
  <c r="G44" i="9" a="1"/>
  <c r="G44" i="9" s="1"/>
  <c r="G45" i="9" a="1"/>
  <c r="G45" i="9" s="1"/>
  <c r="G46" i="9" a="1"/>
  <c r="G46" i="9" s="1"/>
  <c r="G59" i="9" a="1"/>
  <c r="G59" i="9" s="1"/>
  <c r="G60" i="9" a="1"/>
  <c r="G60" i="9" s="1"/>
  <c r="G61" i="9" a="1"/>
  <c r="G61" i="9" s="1"/>
  <c r="G25" i="9" a="1"/>
  <c r="G25" i="9" s="1"/>
  <c r="H91" i="9"/>
  <c r="D4" i="12"/>
  <c r="E89" i="12"/>
  <c r="D28" i="12" a="1"/>
  <c r="D28" i="12" s="1"/>
  <c r="D94" i="12" a="1"/>
  <c r="D94" i="12" s="1"/>
  <c r="E92" i="12" s="1" a="1"/>
  <c r="E92" i="12" s="1"/>
  <c r="D9" i="12" a="1"/>
  <c r="D9" i="12" s="1"/>
  <c r="F7" i="15"/>
  <c r="G29" i="8"/>
  <c r="G24" i="8"/>
  <c r="G25" i="8"/>
  <c r="G26" i="8"/>
  <c r="G27" i="8"/>
  <c r="G28" i="8"/>
  <c r="G30" i="8"/>
  <c r="G31" i="8"/>
  <c r="G32" i="8"/>
  <c r="G33" i="8"/>
  <c r="G34" i="8"/>
  <c r="G35" i="8"/>
  <c r="D20" i="12" l="1" a="1"/>
  <c r="D20" i="12" s="1"/>
  <c r="E27" i="12" s="1" a="1"/>
  <c r="E27" i="12" s="1"/>
  <c r="D74" i="12" a="1"/>
  <c r="D74" i="12" s="1"/>
  <c r="D75" i="12" s="1"/>
  <c r="D83" i="12" s="1"/>
  <c r="G101" i="7" a="1"/>
  <c r="G101" i="7" s="1"/>
  <c r="G151" i="7" a="1"/>
  <c r="G151" i="7" s="1"/>
  <c r="G51" i="7" a="1"/>
  <c r="G51" i="7" s="1"/>
  <c r="G76" i="7" a="1"/>
  <c r="G76" i="7" s="1"/>
  <c r="G103" i="7" a="1"/>
  <c r="G103" i="7" s="1"/>
  <c r="G153" i="7" a="1"/>
  <c r="G153" i="7" s="1"/>
  <c r="G128" i="7" a="1"/>
  <c r="G128" i="7" s="1"/>
  <c r="G53" i="7" a="1"/>
  <c r="G53" i="7" s="1"/>
  <c r="G78" i="7" a="1"/>
  <c r="G78" i="7" s="1"/>
  <c r="G126" i="7" a="1"/>
  <c r="G126" i="7" s="1"/>
  <c r="G152" i="7" a="1"/>
  <c r="G152" i="7" s="1"/>
  <c r="G77" i="7" a="1"/>
  <c r="G77" i="7" s="1"/>
  <c r="G127" i="7" a="1"/>
  <c r="G127" i="7" s="1"/>
  <c r="D62" i="12" a="1"/>
  <c r="D62" i="12" s="1"/>
  <c r="G52" i="7" a="1"/>
  <c r="G52" i="7" s="1"/>
  <c r="G102" i="7" a="1"/>
  <c r="G102" i="7" s="1"/>
  <c r="F9" i="21"/>
  <c r="F6" i="21"/>
  <c r="E18" i="12" a="1"/>
  <c r="E18" i="12" s="1"/>
  <c r="H93" i="9"/>
  <c r="H97" i="9"/>
  <c r="H101" i="9"/>
  <c r="H105" i="9"/>
  <c r="H109" i="9"/>
  <c r="H113" i="9"/>
  <c r="H117" i="9"/>
  <c r="H121" i="9"/>
  <c r="H125" i="9"/>
  <c r="H104" i="9"/>
  <c r="H116" i="9"/>
  <c r="H94" i="9"/>
  <c r="H98" i="9"/>
  <c r="H102" i="9"/>
  <c r="H106" i="9"/>
  <c r="H110" i="9"/>
  <c r="H114" i="9"/>
  <c r="H118" i="9"/>
  <c r="H122" i="9"/>
  <c r="H126" i="9"/>
  <c r="H100" i="9"/>
  <c r="H112" i="9"/>
  <c r="H124" i="9"/>
  <c r="H95" i="9"/>
  <c r="H99" i="9"/>
  <c r="H103" i="9"/>
  <c r="H107" i="9"/>
  <c r="H111" i="9"/>
  <c r="H115" i="9"/>
  <c r="H119" i="9"/>
  <c r="H123" i="9"/>
  <c r="H96" i="9"/>
  <c r="H108" i="9"/>
  <c r="H120" i="9"/>
  <c r="K42" i="9"/>
  <c r="K38" i="9"/>
  <c r="K34" i="9"/>
  <c r="K30" i="9"/>
  <c r="K41" i="9"/>
  <c r="K37" i="9"/>
  <c r="K33" i="9"/>
  <c r="K44" i="9"/>
  <c r="K40" i="9"/>
  <c r="K36" i="9"/>
  <c r="K32" i="9"/>
  <c r="K43" i="9"/>
  <c r="K39" i="9"/>
  <c r="K35" i="9"/>
  <c r="K31" i="9"/>
  <c r="K29" i="9"/>
  <c r="K25" i="9"/>
  <c r="K28" i="9"/>
  <c r="K26" i="9"/>
  <c r="K27" i="9"/>
  <c r="F8" i="21"/>
  <c r="F7" i="21"/>
  <c r="F12" i="21"/>
  <c r="F13" i="21"/>
  <c r="F10" i="21"/>
  <c r="F14" i="21"/>
  <c r="D49" i="12" a="1"/>
  <c r="D49" i="12" s="1"/>
  <c r="D54" i="12" s="1" a="1"/>
  <c r="D54" i="12" s="1"/>
  <c r="D41" i="12"/>
  <c r="D38" i="12" a="1"/>
  <c r="D38" i="12" s="1"/>
  <c r="D42" i="12"/>
  <c r="W29" i="17" a="1"/>
  <c r="W29" i="17" s="1"/>
  <c r="H55" i="18"/>
  <c r="H54" i="18"/>
  <c r="H53" i="18"/>
  <c r="H52" i="18"/>
  <c r="H51" i="18"/>
  <c r="H50" i="18"/>
  <c r="H49" i="18"/>
  <c r="H48" i="18"/>
  <c r="H47" i="18"/>
  <c r="H46" i="18"/>
  <c r="H45" i="18"/>
  <c r="H44" i="18"/>
  <c r="H43" i="18"/>
  <c r="H42" i="18"/>
  <c r="AX41" i="18"/>
  <c r="H41" i="18"/>
  <c r="H40" i="18"/>
  <c r="H39" i="18"/>
  <c r="H38" i="18"/>
  <c r="H37" i="18"/>
  <c r="H36" i="18"/>
  <c r="AX35" i="18"/>
  <c r="H35" i="18"/>
  <c r="H34" i="18"/>
  <c r="H33" i="18"/>
  <c r="H32" i="18"/>
  <c r="H31" i="18"/>
  <c r="AX30" i="18"/>
  <c r="H30" i="18"/>
  <c r="AX29" i="18"/>
  <c r="H29" i="18"/>
  <c r="H28" i="18"/>
  <c r="H27" i="18"/>
  <c r="H26" i="18"/>
  <c r="H25" i="18"/>
  <c r="AN24" i="18"/>
  <c r="H24" i="18"/>
  <c r="AN23" i="18"/>
  <c r="S23" i="18"/>
  <c r="H23" i="18"/>
  <c r="AZ22" i="18"/>
  <c r="S22" i="18"/>
  <c r="E36" i="17" s="1" a="1"/>
  <c r="E36" i="17" s="1"/>
  <c r="H22" i="18"/>
  <c r="AZ21" i="18"/>
  <c r="H21" i="18"/>
  <c r="AZ20" i="18"/>
  <c r="H20" i="18"/>
  <c r="AZ19" i="18"/>
  <c r="H19" i="18"/>
  <c r="AZ18" i="18"/>
  <c r="AP18" i="18"/>
  <c r="H18" i="18"/>
  <c r="AZ17" i="18"/>
  <c r="AP17" i="18"/>
  <c r="H17" i="18"/>
  <c r="AZ16" i="18"/>
  <c r="AP16" i="18"/>
  <c r="H16" i="18"/>
  <c r="AZ15" i="18"/>
  <c r="AP15" i="18"/>
  <c r="H15" i="18"/>
  <c r="AZ14" i="18"/>
  <c r="AP14" i="18"/>
  <c r="H14" i="18"/>
  <c r="AZ13" i="18"/>
  <c r="AP13" i="18"/>
  <c r="H13" i="18"/>
  <c r="AZ12" i="18"/>
  <c r="AP12" i="18"/>
  <c r="H12" i="18"/>
  <c r="AZ11" i="18"/>
  <c r="AP11" i="18"/>
  <c r="H11" i="18"/>
  <c r="AZ10" i="18"/>
  <c r="AP10" i="18"/>
  <c r="H10" i="18"/>
  <c r="AZ9" i="18"/>
  <c r="AP9" i="18"/>
  <c r="H9" i="18"/>
  <c r="AZ8" i="18"/>
  <c r="AP8" i="18"/>
  <c r="H8" i="18"/>
  <c r="AZ7" i="18"/>
  <c r="AP7" i="18"/>
  <c r="H7" i="18"/>
  <c r="AZ6" i="18"/>
  <c r="AP6" i="18"/>
  <c r="H6" i="18"/>
  <c r="AZ5" i="18"/>
  <c r="AP5" i="18"/>
  <c r="H5" i="18"/>
  <c r="AZ4" i="18"/>
  <c r="AP4" i="18"/>
  <c r="H4" i="18"/>
  <c r="AZ3" i="18"/>
  <c r="H3" i="18"/>
  <c r="H2" i="18"/>
  <c r="E38" i="17"/>
  <c r="AH29" i="17" a="1"/>
  <c r="AH29" i="17" s="1"/>
  <c r="M28" i="17"/>
  <c r="C28" i="17"/>
  <c r="M27" i="17"/>
  <c r="AH26" i="17"/>
  <c r="W26" i="17"/>
  <c r="AM21" i="17"/>
  <c r="AB21" i="17"/>
  <c r="Q21" i="17"/>
  <c r="G21" i="17"/>
  <c r="C11" i="17"/>
  <c r="G15" i="21" l="1"/>
  <c r="G115" i="7"/>
  <c r="G116" i="7" s="1"/>
  <c r="G65" i="7"/>
  <c r="G67" i="7" s="1"/>
  <c r="H67" i="12" a="1"/>
  <c r="H67" i="12" s="1"/>
  <c r="D85" i="12" a="1"/>
  <c r="D85" i="12" s="1"/>
  <c r="K17" i="9"/>
  <c r="E71" i="12" a="1"/>
  <c r="E71" i="12" s="1"/>
  <c r="D31" i="12" a="1"/>
  <c r="D31" i="12" s="1"/>
  <c r="G38" i="17"/>
  <c r="K62" i="9"/>
  <c r="K63" i="9" s="1"/>
  <c r="D45" i="12" a="1"/>
  <c r="D45" i="12" s="1"/>
  <c r="M29" i="17" a="1"/>
  <c r="M29" i="17" s="1"/>
  <c r="C29" i="17" a="1"/>
  <c r="C29" i="17" s="1"/>
  <c r="AX31" i="18"/>
  <c r="AX42" i="18" s="1"/>
  <c r="G66" i="7" l="1"/>
  <c r="G117" i="7"/>
  <c r="G118" i="7" s="1"/>
  <c r="G68" i="7"/>
  <c r="F20" i="7"/>
  <c r="K64" i="9"/>
  <c r="D73" i="9" s="1"/>
  <c r="G242" i="7"/>
  <c r="F27" i="7" s="1"/>
  <c r="G165" i="7"/>
  <c r="G190" i="7"/>
  <c r="G192" i="7" s="1"/>
  <c r="F25" i="7" s="1"/>
  <c r="G290" i="7"/>
  <c r="G292" i="7" s="1"/>
  <c r="F29" i="7" s="1"/>
  <c r="G140" i="7"/>
  <c r="G142" i="7" s="1"/>
  <c r="F23" i="7" s="1"/>
  <c r="G90" i="7"/>
  <c r="I19" i="17" a="1"/>
  <c r="I19" i="17" s="1"/>
  <c r="AX36" i="18"/>
  <c r="D74" i="9" l="1"/>
  <c r="D67" i="9" s="1"/>
  <c r="F22" i="7"/>
  <c r="H22" i="7" s="1"/>
  <c r="G141" i="7"/>
  <c r="G216" i="7"/>
  <c r="G293" i="7"/>
  <c r="H29" i="7"/>
  <c r="H28" i="7"/>
  <c r="G167" i="7"/>
  <c r="F24" i="7" s="1"/>
  <c r="G166" i="7"/>
  <c r="G193" i="7"/>
  <c r="H25" i="7"/>
  <c r="G191" i="7"/>
  <c r="H26" i="7"/>
  <c r="G243" i="7"/>
  <c r="H27" i="7"/>
  <c r="G143" i="7"/>
  <c r="H23" i="7"/>
  <c r="G291" i="7"/>
  <c r="G92" i="7"/>
  <c r="G91" i="7"/>
  <c r="G39" i="17"/>
  <c r="D68" i="9" l="1"/>
  <c r="D69" i="9" s="1"/>
  <c r="F21" i="7"/>
  <c r="H21" i="7" s="1"/>
  <c r="H20" i="7"/>
  <c r="G168" i="7"/>
  <c r="H24" i="7"/>
  <c r="G93" i="7"/>
  <c r="E40" i="17"/>
  <c r="G40" i="17" s="1"/>
  <c r="F76" i="4"/>
  <c r="F75" i="4"/>
  <c r="F61" i="4"/>
  <c r="F60" i="4"/>
  <c r="F62" i="4"/>
  <c r="F40" i="4"/>
  <c r="F39" i="4"/>
  <c r="F79" i="4"/>
  <c r="F78" i="4"/>
  <c r="F77" i="4"/>
  <c r="F74" i="4"/>
  <c r="F73" i="4"/>
  <c r="F72" i="4"/>
  <c r="F64" i="4"/>
  <c r="F63" i="4"/>
  <c r="F59" i="4"/>
  <c r="F58" i="4"/>
  <c r="F35" i="4"/>
  <c r="F36" i="4"/>
  <c r="F37" i="4"/>
  <c r="F38" i="4"/>
  <c r="F41" i="4"/>
  <c r="F34" i="4"/>
  <c r="F43" i="4" l="1"/>
  <c r="F44" i="4" s="1"/>
  <c r="F66" i="4"/>
  <c r="F67" i="4" s="1"/>
  <c r="E86" i="4" s="1"/>
  <c r="F81" i="4"/>
  <c r="F82" i="4" s="1"/>
  <c r="E87" i="4" s="1"/>
  <c r="E88" i="4" l="1"/>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72" i="16"/>
  <c r="I70" i="16"/>
  <c r="I71" i="16"/>
  <c r="F39" i="10" l="1"/>
  <c r="F40" i="10" s="1"/>
  <c r="E4" i="14" l="1"/>
  <c r="D4" i="14"/>
  <c r="F4" i="14" l="1"/>
  <c r="C27" i="5"/>
  <c r="C32" i="5" s="1"/>
  <c r="D8" i="15" l="1"/>
  <c r="C8" i="15"/>
  <c r="D18" i="14"/>
  <c r="E18" i="14"/>
  <c r="E9" i="14"/>
  <c r="D9" i="14"/>
  <c r="D17" i="13"/>
  <c r="C17" i="13"/>
  <c r="D13" i="13"/>
  <c r="C9" i="13"/>
  <c r="D9" i="13"/>
  <c r="D4" i="13"/>
  <c r="C4" i="13"/>
  <c r="F4" i="15" l="1"/>
  <c r="H4" i="15" s="1"/>
  <c r="F8" i="15"/>
  <c r="H8" i="15" s="1"/>
  <c r="F18" i="14"/>
  <c r="F9" i="14"/>
  <c r="E17" i="13"/>
  <c r="E9" i="13"/>
  <c r="E4" i="13"/>
  <c r="D21" i="13"/>
  <c r="F22" i="14" l="1"/>
  <c r="C13" i="13"/>
  <c r="E13" i="13" s="1"/>
  <c r="C21" i="13" l="1"/>
  <c r="E21" i="13" s="1"/>
  <c r="K43" i="10"/>
  <c r="C7" i="5" l="1"/>
  <c r="E7" i="5" s="1"/>
  <c r="C8" i="5"/>
  <c r="E8" i="5" s="1"/>
  <c r="C9" i="5"/>
  <c r="E9" i="5" s="1"/>
  <c r="C10" i="5"/>
  <c r="E10" i="5" s="1"/>
  <c r="C11" i="5"/>
  <c r="E11" i="5" s="1"/>
  <c r="C12" i="5"/>
  <c r="E12" i="5" s="1"/>
  <c r="C13" i="5"/>
  <c r="E13" i="5" s="1"/>
  <c r="C14" i="5"/>
  <c r="E14" i="5" s="1"/>
  <c r="C15" i="5"/>
  <c r="E15" i="5" s="1"/>
  <c r="C16" i="5"/>
  <c r="E16" i="5" s="1"/>
  <c r="C17" i="5"/>
  <c r="E17" i="5" s="1"/>
  <c r="C18" i="5"/>
  <c r="E18" i="5" s="1"/>
  <c r="C19" i="5"/>
  <c r="E19" i="5" s="1"/>
  <c r="C20" i="5"/>
  <c r="E20" i="5" s="1"/>
  <c r="C21" i="5"/>
  <c r="E21" i="5" s="1"/>
  <c r="C6" i="5"/>
  <c r="E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tc={378576E3-5D01-4F35-B13A-8022D547C2C3}</author>
    <author>tc={EC033E50-BD8C-4396-A1CD-9DC33B99B0E4}</author>
    <author>tc={8DECE626-6E91-472F-A5ED-05A5AF5FA714}</author>
  </authors>
  <commentList>
    <comment ref="AX29" authorId="0" shapeId="0" xr:uid="{378576E3-5D01-4F35-B13A-8022D547C2C3}">
      <text>
        <t>[Threaded comment]
Your version of Excel allows you to read this threaded comment; however, any edits to it will get removed if the file is opened in a newer version of Excel. Learn more: https://go.microsoft.com/fwlink/?linkid=870924
Comment:
    Automatico de tabla A.2 anexo 2</t>
      </text>
    </comment>
    <comment ref="AX36" authorId="1" shapeId="0" xr:uid="{EC033E50-BD8C-4396-A1CD-9DC33B99B0E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 ref="AX42" authorId="2" shapeId="0" xr:uid="{8DECE626-6E91-472F-A5ED-05A5AF5FA71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Huincahue, Fabiana</author>
  </authors>
  <commentList>
    <comment ref="G14" authorId="0" shapeId="0" xr:uid="{B32150F3-5B21-47C0-A3F9-2C392465C453}">
      <text>
        <r>
          <rPr>
            <b/>
            <sz val="9"/>
            <color indexed="81"/>
            <rFont val="Tahoma"/>
            <family val="2"/>
          </rPr>
          <t xml:space="preserve">Huincahue, Fabiana;
Cerlda muy larga.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<sst xmlns="http://schemas.openxmlformats.org/spreadsheetml/2006/main" count="2106" uniqueCount="1110">
  <si>
    <t>INTRODUCCIÓN</t>
  </si>
  <si>
    <r>
      <t xml:space="preserve">Esta Ficha Minergie sirve de complemento para la verificación y justificación de ciertos requisitos de la certificación Minergie, a través de cálculos simples.
-Cada pestaña corresponde a un requisito específico y contiene la metodología de cálculo para la verificación.
-Algunas celdas en color blanco contienen celdas con listas desplegables de alternativas para facilitar los cálculos.
-Las celdas en color gris claro, pueden ser llenadas con información de parte del Experto/a Minergie
</t>
    </r>
    <r>
      <rPr>
        <i/>
        <sz val="10"/>
        <color theme="0"/>
        <rFont val="Arial"/>
        <family val="2"/>
      </rPr>
      <t>Fecha de última edición de esta Ficha Minergie: Agosto 2023
Versión válida del reglamento: 2023.1
Versión válida de la guía de aplicación: 2023.1 (Julio 2023)</t>
    </r>
  </si>
  <si>
    <t>A1</t>
  </si>
  <si>
    <t>Datos del proyecto</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</si>
  <si>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</si>
  <si>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</si>
  <si>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</si>
  <si>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</si>
  <si>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t>
    </r>
  </si>
  <si>
    <t>A2</t>
  </si>
  <si>
    <t>Aislamiento térmico de la envolvente</t>
  </si>
  <si>
    <t>Tabla A2.1</t>
  </si>
  <si>
    <t>Componente</t>
  </si>
  <si>
    <t>Valor U (W/m2°k)</t>
  </si>
  <si>
    <t>Muro 1</t>
  </si>
  <si>
    <t>Muro 2</t>
  </si>
  <si>
    <t>Muro 3</t>
  </si>
  <si>
    <t>Muro 4</t>
  </si>
  <si>
    <t>Muro 5</t>
  </si>
  <si>
    <t>Techumbre 1</t>
  </si>
  <si>
    <t>Techumbre 2</t>
  </si>
  <si>
    <t>Techumbre 3</t>
  </si>
  <si>
    <t>Piso 1</t>
  </si>
  <si>
    <t>Piso 2</t>
  </si>
  <si>
    <t>Piso 3</t>
  </si>
  <si>
    <t>Ventana 1</t>
  </si>
  <si>
    <t>Ventana 2</t>
  </si>
  <si>
    <t>Ventana 3</t>
  </si>
  <si>
    <t>Puerta 1</t>
  </si>
  <si>
    <t>Puerta 2</t>
  </si>
  <si>
    <t>Las siguientes alternativas de cálculo se ponen a disposición en caso que el/la Experto/a lo requiera para llenar los datos de la "Tabla A2.1" de declaración de Valores U</t>
  </si>
  <si>
    <t>Alternativa 1. Cálculo de valor U: Sistema constructivo sólida.</t>
  </si>
  <si>
    <t>Elementos de construcción sólida:</t>
  </si>
  <si>
    <t>-     Muro de hormigón armado (mínimo 10 cm de espesor)</t>
  </si>
  <si>
    <t>-     Muro de albañilería (mínimo 20 cm de espesor)</t>
  </si>
  <si>
    <t>-     Muro de adobe (mínimo 17 cm de espesor)</t>
  </si>
  <si>
    <t>Material</t>
  </si>
  <si>
    <t>Espesor 
(m)</t>
  </si>
  <si>
    <t>Densidad
(kg/m3)</t>
  </si>
  <si>
    <t>Conductividad (W/m°K)</t>
  </si>
  <si>
    <t>Resistencia (m2°K/W)</t>
  </si>
  <si>
    <t>En Chile se deben utilizar las resistencias superficiales de la tabla N° "Resistencia superficial por elementos verticales y horizontales" según el caso que corresponda.</t>
  </si>
  <si>
    <t>Resistencia superficie interior</t>
  </si>
  <si>
    <t>Hormigón Armado (normal)</t>
  </si>
  <si>
    <t>Poliestireno Expandido</t>
  </si>
  <si>
    <t>Resistencia superficie exterior</t>
  </si>
  <si>
    <t>Resistencia Térmica (m2°K/W)</t>
  </si>
  <si>
    <t>Transmitancia Térmica (W/m2°K)</t>
  </si>
  <si>
    <t>Alternativa 2. Cálculo de valor U: Sistema constructivo mixto o ligero (2 o más secciones).</t>
  </si>
  <si>
    <t>Elementos de construcción ligera:</t>
  </si>
  <si>
    <t>-     Muro de madera contralaminada “CLT” (con menos de 27 cm de espesor)</t>
  </si>
  <si>
    <t>-     Sistema constructivo con base a marcos de madera (tabiquería de madera)</t>
  </si>
  <si>
    <t>-     Sistema constructivo con base a marcos metálicos (tabiquería metálica)</t>
  </si>
  <si>
    <t>SECCIÓN 1</t>
  </si>
  <si>
    <t>Se deben utilizar las resistencias superficiales de la tabla N° "Resistencia superficial por elementos verticales y horizontales" según el caso que corresponda.</t>
  </si>
  <si>
    <t>Madera tablero de fibra 850</t>
  </si>
  <si>
    <t>Madera Pino</t>
  </si>
  <si>
    <t>Transmitancia Térmica sección 1 (W/m2°K)</t>
  </si>
  <si>
    <t>SECCIÓN 2</t>
  </si>
  <si>
    <t>Celulosa</t>
  </si>
  <si>
    <t>Transmitancia Térmica sección 2 (W/m2°K)</t>
  </si>
  <si>
    <t>PONDERACIÓN VALORES U</t>
  </si>
  <si>
    <t>Sección</t>
  </si>
  <si>
    <t>Porcentaje en la superficie (%)</t>
  </si>
  <si>
    <t>Valor U ponderado</t>
  </si>
  <si>
    <t>Valor U Sección 1</t>
  </si>
  <si>
    <t>Valor U Sección 2</t>
  </si>
  <si>
    <t>Transmitancia Térmica Total (W/m2°K)</t>
  </si>
  <si>
    <t>A3</t>
  </si>
  <si>
    <t>Reducción de puentes térmicos y hermeticidad</t>
  </si>
  <si>
    <t>Zonas Chile: C, D, E, F, G, H y I</t>
  </si>
  <si>
    <t>Zonas ASHRAE: 4, 5, 6 y 7</t>
  </si>
  <si>
    <t>Alternativa 1 Mejora de valor U en todas las componentes (Opción Simple)</t>
  </si>
  <si>
    <t>Factor de reducción</t>
  </si>
  <si>
    <t>Valor U resultante (W/m2°k)</t>
  </si>
  <si>
    <r>
      <t xml:space="preserve">Cuando no se eliminan los puentes térmicos existentes, se debe mejorar en un 10% la transmitancia térmica (valor U) de cada elemento de la envolvente por separado, y a la vez, seguir cumpliendo con los valores límites establecidos por Minergie para las zonas climáticas de Chile y ASHRAE según corresponda.
</t>
    </r>
    <r>
      <rPr>
        <b/>
        <sz val="10"/>
        <color theme="0"/>
        <rFont val="Arial"/>
        <family val="2"/>
      </rPr>
      <t>Compare los Valores U resultantes (columna E luego de aplicado el factor de reducción) con las tablas de valores U límite del Reglamento Minergie y verifique que su paquete constructivo aún cumple.</t>
    </r>
  </si>
  <si>
    <t>Alternativa 2 Cálculo de valor U para compensar (Opción detallada)</t>
  </si>
  <si>
    <t>Puente térmico lineal (Psi)</t>
  </si>
  <si>
    <t>W/mK</t>
  </si>
  <si>
    <t xml:space="preserve">Declarar Psi según ejemplos de la Guía de Aplicación Minergie </t>
  </si>
  <si>
    <t xml:space="preserve">Se puede detallar el puente térmico puntual con su medida y compensarlo por otro elemento de la envolvente que se pueda aumentar el espesor de aislación térmica.
El límite para valor U del elemento a compensar varia en relación con la superficie destinada y el flujo de calor del puente térmico. </t>
  </si>
  <si>
    <t>Largo del puente térmico</t>
  </si>
  <si>
    <t>mts.</t>
  </si>
  <si>
    <t>Flujo de calor</t>
  </si>
  <si>
    <t>W/K</t>
  </si>
  <si>
    <t>Elemento de compensación</t>
  </si>
  <si>
    <t>Techumbre</t>
  </si>
  <si>
    <t>Se refiere alguna componente (techumbre, muro, piso ventilado).</t>
  </si>
  <si>
    <t>Superficie de la componente a remediar</t>
  </si>
  <si>
    <r>
      <t>m</t>
    </r>
    <r>
      <rPr>
        <vertAlign val="superscript"/>
        <sz val="10"/>
        <color theme="1"/>
        <rFont val="Arial"/>
        <family val="2"/>
      </rPr>
      <t>2</t>
    </r>
  </si>
  <si>
    <t>Se refiere a la superficie del componente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</si>
  <si>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</si>
  <si>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</si>
  <si>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Es el límite de valor U según la zona climática de la tabla 1 o 2 para el elemento de la envolvente escogido para compensar.</t>
  </si>
  <si>
    <t>Valor U mínimo de la componente de compensación</t>
  </si>
  <si>
    <t>W/m2K</t>
  </si>
  <si>
    <t>Nuevo límite que se debe cumplir para el elemento que compensa el puente térmico.</t>
  </si>
  <si>
    <t>Valor U final de la componente de compensación</t>
  </si>
  <si>
    <t>Valor U final del elemento o componente de compensación.</t>
  </si>
  <si>
    <t>A4</t>
  </si>
  <si>
    <t>Aprovechamiento de la radiación solar</t>
  </si>
  <si>
    <t>Zonas Chile: Todas</t>
  </si>
  <si>
    <t>Zonas ASHRAE: Todas menos 0A, 1A, 2A</t>
  </si>
  <si>
    <t>Capacidad de almacenamiento de calor de paquetes constructivos</t>
  </si>
  <si>
    <t>Recintos Habitable</t>
  </si>
  <si>
    <t>Ventanas</t>
  </si>
  <si>
    <t>Puertas</t>
  </si>
  <si>
    <r>
      <rPr>
        <b/>
        <u/>
        <sz val="10"/>
        <color theme="0"/>
        <rFont val="Arial"/>
        <family val="2"/>
      </rPr>
      <t>Biblioteca personal:</t>
    </r>
    <r>
      <rPr>
        <sz val="10"/>
        <color theme="0"/>
        <rFont val="Arial"/>
        <family val="2"/>
      </rPr>
      <t xml:space="preserve">
Es posible ingresar un tipo de material pesado que no se encuentre en la lista desplegable. La justificación que demuestre la clasificación del material debe ingresarse en la casilla de ingreso de documentos del requerimiento A4</t>
    </r>
  </si>
  <si>
    <t>Instrucciones</t>
  </si>
  <si>
    <t>Nombre</t>
  </si>
  <si>
    <t>Superficie Muros exteriores [m2]</t>
  </si>
  <si>
    <t>Superficie particiones interiores [m2]</t>
  </si>
  <si>
    <t>m2
Ventanas</t>
  </si>
  <si>
    <t>m2
Puertas exteriores</t>
  </si>
  <si>
    <t>m2
Puertas interiores</t>
  </si>
  <si>
    <t>Total superficie Ventanas y puertas exteriores [m2]</t>
  </si>
  <si>
    <r>
      <t xml:space="preserve">Completar información de entrada de acuerdo al proyecto y </t>
    </r>
    <r>
      <rPr>
        <u/>
        <sz val="10"/>
        <color theme="0"/>
        <rFont val="Arial"/>
        <family val="2"/>
      </rPr>
      <t>para cada recinto o agrupación a evaluar:</t>
    </r>
    <r>
      <rPr>
        <sz val="10"/>
        <color theme="0"/>
        <rFont val="Arial"/>
        <family val="2"/>
      </rPr>
      <t xml:space="preserve">
1 - Superficie muros exteriores: equivale a la superficie de la envolvente térmica sin descontar la superficie de ventanas.
2 - Superficie particiones interiores: equivale a la superficie de los muros interiores.
3 - Superficie de ventanas: Ingresar la superficie de ventanas (vano que incluye vidrios y marcos).
4 - Superficie de puertas interiores: Ingresar la superficie de puertas de particiones interiores (vano que incluye puerta y marco)
5 - Superficie de puertas exteriores: Ingresar la superficie de puertas exteriores que son parte de la envolvente térmica (vano que incluye puerta y marco).</t>
    </r>
  </si>
  <si>
    <t>Dormitorio 1</t>
  </si>
  <si>
    <t>Dormitorio 2</t>
  </si>
  <si>
    <t>Biblioteca Personal</t>
  </si>
  <si>
    <t>Capacidad Calorifica [kJ/m2/K]</t>
  </si>
  <si>
    <t>Oficina</t>
  </si>
  <si>
    <t>CLT 115 con planchas de MDF por cara + cámara de aire ventilada + MDF +plancha de acero exterior</t>
  </si>
  <si>
    <t>Comedor cocina</t>
  </si>
  <si>
    <t>Estar</t>
  </si>
  <si>
    <t>Resumen recintos</t>
  </si>
  <si>
    <t>KJ/m2K</t>
  </si>
  <si>
    <t>Requerimiento  Minergie KJ/m2K</t>
  </si>
  <si>
    <t>Evaluación</t>
  </si>
  <si>
    <t>El cálculo detallado de cada recinto o agrupación se realiza a continuación:</t>
  </si>
  <si>
    <t>Datos de entrada:</t>
  </si>
  <si>
    <t>Recinto</t>
  </si>
  <si>
    <t>m2 superficie acondicionada</t>
  </si>
  <si>
    <t>6. Desplegar el menu del nombre de recinto, ingresado en la Tabla 1  de entrada</t>
  </si>
  <si>
    <t>Largo del espacio</t>
  </si>
  <si>
    <t>Tabiquería 
interior</t>
  </si>
  <si>
    <t>Ancho del espacio</t>
  </si>
  <si>
    <t>Altura del espacio</t>
  </si>
  <si>
    <t>Superficie de ventanas / puertas</t>
  </si>
  <si>
    <t>Superficie  brutto/netto</t>
  </si>
  <si>
    <t>7. Ingresar la superficie útil acondicionada del recinto</t>
  </si>
  <si>
    <t>Elemento</t>
  </si>
  <si>
    <t>Biblioteca</t>
  </si>
  <si>
    <t xml:space="preserve">Paquete Constructivo </t>
  </si>
  <si>
    <t>Capacidad calorífica [kJ/m2/K]</t>
  </si>
  <si>
    <t>CEATI Piso</t>
  </si>
  <si>
    <t>Biblioteca.Minergie.Paquetes</t>
  </si>
  <si>
    <t>P2.  Radier de Hormigón Armado 10cm + Aislación térmica 12cm + polietileno 0,2mm + Ripio 10cm</t>
  </si>
  <si>
    <t>kJ/m2/K</t>
  </si>
  <si>
    <t>CEATI Cielo</t>
  </si>
  <si>
    <t>C3.  Plancha yesocartón 10mm + Aislación Poliestireno Expandido 100mm con perfiles metálicos incorporados + Malla de acero electrosoldada + Losa de hormigón espesor promedio 65mm + Sobrelosa de hormigón liviano 30mm</t>
  </si>
  <si>
    <t>CEATI Muros envolvente</t>
  </si>
  <si>
    <t>M5.  Hormigón Armado 200mm + Aislante Poliestireno Expandido 80mm</t>
  </si>
  <si>
    <t>CEATI Particiones interiores</t>
  </si>
  <si>
    <t>M6.  Mortero de cemento 20mm + Ladrillo hecho a máquina 143mm + Mortero de cemento 20mm</t>
  </si>
  <si>
    <t xml:space="preserve"> CEATI=Capacidad efectiva de almacenamiento térmico en cara interior de muros </t>
  </si>
  <si>
    <t>Resultados intermedios:</t>
  </si>
  <si>
    <t>Piso</t>
  </si>
  <si>
    <t>Valor tomado de la superficie útil del recinto</t>
  </si>
  <si>
    <t>Cielo</t>
  </si>
  <si>
    <t>Muros exteriores sin ventanas</t>
  </si>
  <si>
    <t>Valor tomado de Tabla 1, donde se descuenta de la envolvente térmica la superficie de ventanas y puertas exteriores</t>
  </si>
  <si>
    <t>Particiones interiores</t>
  </si>
  <si>
    <t>Valor tomado de la Tabla 1</t>
  </si>
  <si>
    <t>Superficie área acondicionada (AAC)</t>
  </si>
  <si>
    <t>Total de superficie opaca</t>
  </si>
  <si>
    <t>Sumatoria de superficies correspondiente a los elementos de piso, cielo, muros exteriores sin ventanas y particiones interiores</t>
  </si>
  <si>
    <t>Resultados:</t>
  </si>
  <si>
    <t>Masa de almacenamiento total</t>
  </si>
  <si>
    <t>kJ/K</t>
  </si>
  <si>
    <t>Promedio de CEATI</t>
  </si>
  <si>
    <t>Capacidad de almacenamiento calorífico</t>
  </si>
  <si>
    <t>Wh/m2</t>
  </si>
  <si>
    <t xml:space="preserve">C1.  Plancha Yeso Cartón de 10 mm en listoneado de madera 2x2" + estructura cerchas y costaneras de madera + cámara de aire entre plancha de cielo y aislante 50mm </t>
  </si>
  <si>
    <t>M2.  OSB 15mm + Lana mineral 160mm + OSB 15mm + cámara de aire ventilada + Terminación exterior tipo siding</t>
  </si>
  <si>
    <t>A5</t>
  </si>
  <si>
    <t>Protección solar exterior de las ventanas</t>
  </si>
  <si>
    <t>Zonas Chile: A, B, C y D.</t>
  </si>
  <si>
    <t>Zonas ASHRAE: 0, 1, 2 y 3.</t>
  </si>
  <si>
    <t>CRISTAL</t>
  </si>
  <si>
    <t>Descripción</t>
  </si>
  <si>
    <t xml:space="preserve">Información extraída desde la ficha técnica de la ventana obtenida por el proveedor. </t>
  </si>
  <si>
    <r>
      <t>U</t>
    </r>
    <r>
      <rPr>
        <sz val="8"/>
        <rFont val="Arial"/>
        <family val="2"/>
      </rPr>
      <t>g</t>
    </r>
  </si>
  <si>
    <t>Transmitancia térmica ventana (W/m2K)</t>
  </si>
  <si>
    <t>SHGC o FS</t>
  </si>
  <si>
    <t>Factor de transmitancia de la energía solar cristal</t>
  </si>
  <si>
    <t>T. Luz</t>
  </si>
  <si>
    <t>Transmisión de luz visible %</t>
  </si>
  <si>
    <t xml:space="preserve">MARCO </t>
  </si>
  <si>
    <t xml:space="preserve">Información extraída desde la ficha técnica del marco obtenida por el proveedor. (Se puede utilizar la transmitancia térmica del marco desde un manual local justificando su uso).  </t>
  </si>
  <si>
    <t>Fm</t>
  </si>
  <si>
    <t>Porcentaje en ventana</t>
  </si>
  <si>
    <r>
      <t>U</t>
    </r>
    <r>
      <rPr>
        <sz val="8"/>
        <rFont val="Arial"/>
        <family val="2"/>
      </rPr>
      <t>m</t>
    </r>
  </si>
  <si>
    <t>Transmitancia térmica marco (W/m2K)</t>
  </si>
  <si>
    <t>Absortividad</t>
  </si>
  <si>
    <t>Color</t>
  </si>
  <si>
    <t>Claro</t>
  </si>
  <si>
    <t>Blanco</t>
  </si>
  <si>
    <t>PERSIANA</t>
  </si>
  <si>
    <t>Se consideran las persianas tejidas, según las características de translucidez que indique el proveedor.</t>
  </si>
  <si>
    <t>TRANSPARENCIA</t>
  </si>
  <si>
    <t>Medianamente Translúcido 3% - 6%</t>
  </si>
  <si>
    <t>COLOR</t>
  </si>
  <si>
    <t>PROTECCIÓN SOLAR FIJA</t>
  </si>
  <si>
    <t>Se consideran los elementos externos al edificio que quedan de manera fija y protegen parte de la ventana. Según cada caso se escoge la tabla correspondiente. En caso de contar con más de un tipo de protección solar fija, se puede considerar la que genera más protección solar o debe realizarse el cálculo por separado.</t>
  </si>
  <si>
    <t>TIPO</t>
  </si>
  <si>
    <t>LAMA HORIZONTAL</t>
  </si>
  <si>
    <t>FS</t>
  </si>
  <si>
    <t>VOLADIZO</t>
  </si>
  <si>
    <t>RETRANQUEO</t>
  </si>
  <si>
    <t>LAMA VERTICAL</t>
  </si>
  <si>
    <t>Medidas</t>
  </si>
  <si>
    <t>Referencia</t>
  </si>
  <si>
    <t>Orientación Fachada</t>
  </si>
  <si>
    <t>NorEste</t>
  </si>
  <si>
    <t>NorOeste</t>
  </si>
  <si>
    <t>D (m)</t>
  </si>
  <si>
    <t>R (m)</t>
  </si>
  <si>
    <t>L (m)</t>
  </si>
  <si>
    <t>W (m)</t>
  </si>
  <si>
    <t>H (m)</t>
  </si>
  <si>
    <t>D/L</t>
  </si>
  <si>
    <t xml:space="preserve">L/H </t>
  </si>
  <si>
    <t>R/W</t>
  </si>
  <si>
    <t>Ángulo (β)</t>
  </si>
  <si>
    <t>Ángulo (σ)</t>
  </si>
  <si>
    <t xml:space="preserve">D/H </t>
  </si>
  <si>
    <t>R/H</t>
  </si>
  <si>
    <t>SHGC</t>
  </si>
  <si>
    <r>
      <t xml:space="preserve">Factor sombra en ventana </t>
    </r>
    <r>
      <rPr>
        <b/>
        <sz val="10"/>
        <rFont val="Arial"/>
        <family val="2"/>
      </rPr>
      <t>(protección solar fija)</t>
    </r>
  </si>
  <si>
    <t>FS</t>
    <phoneticPr fontId="0" type="noConversion"/>
  </si>
  <si>
    <t>En caso de que exista un retranqueo, la longitud L se medirá desde el centro del acristalamiento.
Fuente: Extraido desde el manual CES en base a CTE DB HE 2006.</t>
  </si>
  <si>
    <t>La longitud L se medirá desde el centro del acristalamiento.
Fuente: Extraido desde el manual CES en base a CTE DB HE 2006.</t>
  </si>
  <si>
    <t>1. Los valores de factor de sombra que se indican en estas tablas han sido calculados para una relación D/L igual o inferior a 1 (La separación de las lamas debe ser mas pequeña que el ancho de esta).
Fuente: Extraido desde el manual CES en base a CTE DB HE 2006.</t>
  </si>
  <si>
    <t>1. Los valores de factor de sombra que se indican en estas tablas han sido calculados para una relación D/L igual o inferior a 1 (La separación de las lamas debe ser mas pequeña que el ancho de esta).
2. El ángulo (σ) debe ser medido desde la normal a la fachada hacia el plano de las lamas, considerándose positivo en dirección horaria.
Fuente: Extraido desde el manual CES en base a CTE DB HE 2006.</t>
  </si>
  <si>
    <t>CUMPLIMIENTO</t>
  </si>
  <si>
    <t>Zona climatica</t>
  </si>
  <si>
    <t>ASHRAE 2 y 3 (Chile C y D)</t>
  </si>
  <si>
    <t>- El limite del FSM o SHGC modificado establecido por Minergie es en base al porcentaje de acristalamiento y zona climática establecidos en la tabla N°1.
- El Factor de transmisión total de energía solar (g total o SHGC total) se calcula en base a la normativa UNE-EN 13363-1.
- El Factor solar Modificado (FSM) o SHGC modificado se calcula desde el manual CES en base al Código Técnico de la Ediﬁcación de España (CTE DB HE 2006).</t>
  </si>
  <si>
    <t>Porcentaje de acristalamiento</t>
  </si>
  <si>
    <t>SHGC límite Minergie</t>
  </si>
  <si>
    <t>Ubicación de persiana</t>
  </si>
  <si>
    <t>Sin persiana</t>
  </si>
  <si>
    <r>
      <t xml:space="preserve">Factor de transmitancia de la energía solar </t>
    </r>
    <r>
      <rPr>
        <b/>
        <sz val="10"/>
        <rFont val="Arial"/>
        <family val="2"/>
      </rPr>
      <t>(acristalamiento)</t>
    </r>
  </si>
  <si>
    <r>
      <t>SHGC</t>
    </r>
    <r>
      <rPr>
        <b/>
        <sz val="9"/>
        <rFont val="Arial"/>
        <family val="2"/>
      </rPr>
      <t xml:space="preserve"> - total</t>
    </r>
  </si>
  <si>
    <r>
      <t xml:space="preserve">Factor de transmisión total de energía solar </t>
    </r>
    <r>
      <rPr>
        <b/>
        <sz val="10"/>
        <rFont val="Arial"/>
        <family val="2"/>
      </rPr>
      <t>(acristalamiento + persiana int. o ext.)</t>
    </r>
  </si>
  <si>
    <r>
      <t>SHGC</t>
    </r>
    <r>
      <rPr>
        <b/>
        <sz val="8"/>
        <rFont val="Arial"/>
        <family val="2"/>
      </rPr>
      <t xml:space="preserve"> - modificado</t>
    </r>
  </si>
  <si>
    <r>
      <t xml:space="preserve">Factor de transmisión total de energía solar Modificado </t>
    </r>
    <r>
      <rPr>
        <b/>
        <sz val="10"/>
        <rFont val="Arial"/>
        <family val="2"/>
      </rPr>
      <t>(acristalamiento + persiana int. o ext. + p. solar fija)</t>
    </r>
  </si>
  <si>
    <t>Bibliografia referencial</t>
  </si>
  <si>
    <t>Factor de transmisión total de energía solar</t>
  </si>
  <si>
    <t>COMBINACIÓN VIDRIO + CORTINA INTERIOR O EXTERIOR</t>
  </si>
  <si>
    <t>Según la norma UNE-EN 13363-1</t>
  </si>
  <si>
    <t>-</t>
  </si>
  <si>
    <t>Se puede obtener el valor "g total" (Factor de transmisión total de energía solar) combinando la transmisión de energia solar del vidrio (g) con el factor de transmitancia y reflexión solar de la cortina.</t>
  </si>
  <si>
    <t>El valor y formula varían según la posición de la persiana.</t>
  </si>
  <si>
    <t>FACTOR SOLAR MODIFICADO</t>
  </si>
  <si>
    <t>Según el Manual CES 1.1</t>
  </si>
  <si>
    <t>Podrán eximirse de los requerimientos de FSM aquellas ventanas en recintos con un acristalamiento de fachada de 20% o menos, y en recintos tipo habitaciones y circulaciones asociadas a habitaciones.</t>
  </si>
  <si>
    <t>Se exeptua el cumplimiento del FSM cuando existen, en un ámbito de 50 metros en torno al edificio, obstáculos tales como cerros u otros edificios, que bloqueen en 50% o más el acceso a la radiación solar directa, verificado  en las siguientes condiciones:
    - El mediodía solar del solsticio de invierno en el caso de fachadas N, NE y NO
    - Las 9:00 hrs del solsticio de verano en el caso de fachadas E
    - Las 17:00 hrs del solsticio de verano en el caso de fachadas O</t>
  </si>
  <si>
    <t xml:space="preserve">   </t>
  </si>
  <si>
    <t>Porcentaje</t>
  </si>
  <si>
    <t>Resultado</t>
  </si>
  <si>
    <t>Voladizo!A1</t>
  </si>
  <si>
    <r>
      <rPr>
        <sz val="8.5"/>
        <rFont val="Calibri"/>
        <family val="1"/>
      </rPr>
      <t>Orientación fachada</t>
    </r>
  </si>
  <si>
    <t>Límites</t>
  </si>
  <si>
    <r>
      <rPr>
        <sz val="8.5"/>
        <rFont val="Calibri"/>
        <family val="1"/>
      </rPr>
      <t>0,2&lt; L/H ≤0,5</t>
    </r>
  </si>
  <si>
    <r>
      <rPr>
        <sz val="8.5"/>
        <rFont val="Calibri"/>
        <family val="1"/>
      </rPr>
      <t>0,5&lt; L/H ≤1</t>
    </r>
  </si>
  <si>
    <r>
      <rPr>
        <sz val="8.5"/>
        <rFont val="Calibri"/>
        <family val="1"/>
      </rPr>
      <t>1&lt; L/H ≤2</t>
    </r>
  </si>
  <si>
    <r>
      <rPr>
        <sz val="8.5"/>
        <rFont val="Calibri"/>
        <family val="1"/>
      </rPr>
      <t>L/H &gt; 2</t>
    </r>
  </si>
  <si>
    <r>
      <rPr>
        <b/>
        <sz val="8.5"/>
        <rFont val="Calibri"/>
        <family val="1"/>
      </rPr>
      <t>Orientación fachada</t>
    </r>
  </si>
  <si>
    <r>
      <rPr>
        <b/>
        <sz val="8.5"/>
        <rFont val="Calibri"/>
        <family val="1"/>
      </rPr>
      <t>0,05&lt;R/W≤0,1</t>
    </r>
  </si>
  <si>
    <r>
      <rPr>
        <b/>
        <sz val="8.5"/>
        <rFont val="Calibri"/>
        <family val="1"/>
      </rPr>
      <t>0,1&lt;R/W≤0,2</t>
    </r>
  </si>
  <si>
    <r>
      <rPr>
        <b/>
        <sz val="8.5"/>
        <rFont val="Calibri"/>
        <family val="1"/>
      </rPr>
      <t>0,2&lt;R/W≤0,5</t>
    </r>
  </si>
  <si>
    <r>
      <rPr>
        <b/>
        <sz val="8.5"/>
        <rFont val="Calibri"/>
        <family val="1"/>
      </rPr>
      <t>R/W &gt;0,5</t>
    </r>
  </si>
  <si>
    <t>Angulo de inclinación (β)</t>
  </si>
  <si>
    <r>
      <rPr>
        <b/>
        <sz val="8.5"/>
        <rFont val="Calibri"/>
        <family val="1"/>
      </rPr>
      <t>Angulo de inclinación (σ)</t>
    </r>
  </si>
  <si>
    <r>
      <t>y = 0,3611x</t>
    </r>
    <r>
      <rPr>
        <vertAlign val="superscript"/>
        <sz val="10"/>
        <color theme="1"/>
        <rFont val="Arial"/>
        <family val="2"/>
      </rPr>
      <t>2</t>
    </r>
    <r>
      <rPr>
        <sz val="10"/>
        <color theme="1"/>
        <rFont val="Arial"/>
        <family val="2"/>
      </rPr>
      <t xml:space="preserve"> - 0,7629x + 0,6524</t>
    </r>
  </si>
  <si>
    <t>Persiana interior</t>
  </si>
  <si>
    <t>Retranqueo!A1</t>
  </si>
  <si>
    <r>
      <rPr>
        <b/>
        <sz val="8.5"/>
        <rFont val="Calibri"/>
        <family val="1"/>
      </rPr>
      <t>Norte</t>
    </r>
  </si>
  <si>
    <r>
      <rPr>
        <b/>
        <sz val="8.5"/>
        <rFont val="Calibri"/>
        <family val="1"/>
      </rPr>
      <t>&lt; 30°</t>
    </r>
  </si>
  <si>
    <r>
      <rPr>
        <b/>
        <sz val="8.5"/>
        <rFont val="Calibri"/>
        <family val="1"/>
      </rPr>
      <t>≥ 30°  y  &lt;60°</t>
    </r>
  </si>
  <si>
    <r>
      <rPr>
        <b/>
        <sz val="8.5"/>
        <rFont val="Calibri"/>
        <family val="1"/>
      </rPr>
      <t>≥ 60°</t>
    </r>
  </si>
  <si>
    <r>
      <rPr>
        <b/>
        <sz val="8.5"/>
        <rFont val="Calibri"/>
        <family val="1"/>
      </rPr>
      <t>≥60°</t>
    </r>
  </si>
  <si>
    <r>
      <rPr>
        <b/>
        <sz val="8.5"/>
        <rFont val="Calibri"/>
        <family val="1"/>
      </rPr>
      <t>≥45°</t>
    </r>
  </si>
  <si>
    <r>
      <rPr>
        <b/>
        <sz val="8.5"/>
        <rFont val="Calibri"/>
        <family val="1"/>
      </rPr>
      <t>≥30°</t>
    </r>
  </si>
  <si>
    <r>
      <rPr>
        <b/>
        <sz val="8.5"/>
        <rFont val="Calibri"/>
        <family val="1"/>
      </rPr>
      <t>≥0°</t>
    </r>
  </si>
  <si>
    <r>
      <rPr>
        <b/>
        <sz val="8.5"/>
        <rFont val="Calibri"/>
        <family val="1"/>
      </rPr>
      <t>≥-30°</t>
    </r>
  </si>
  <si>
    <r>
      <rPr>
        <b/>
        <sz val="8.5"/>
        <rFont val="Calibri"/>
        <family val="1"/>
      </rPr>
      <t>≥-45°</t>
    </r>
  </si>
  <si>
    <r>
      <rPr>
        <b/>
        <sz val="8.5"/>
        <rFont val="Calibri"/>
        <family val="1"/>
      </rPr>
      <t>≥-60°</t>
    </r>
  </si>
  <si>
    <t>Persiana exterior</t>
  </si>
  <si>
    <t>Lama horizontal!A1</t>
  </si>
  <si>
    <r>
      <rPr>
        <sz val="8.5"/>
        <rFont val="Calibri"/>
        <family val="1"/>
      </rPr>
      <t>0,05 &lt; R/H ≤ 0,1</t>
    </r>
  </si>
  <si>
    <t>Lama vertical!A1</t>
  </si>
  <si>
    <t>Norte</t>
  </si>
  <si>
    <r>
      <rPr>
        <sz val="8.5"/>
        <rFont val="Calibri"/>
        <family val="1"/>
      </rPr>
      <t>0 &lt; D/H ≤ 0,2</t>
    </r>
  </si>
  <si>
    <r>
      <rPr>
        <sz val="8.5"/>
        <rFont val="Calibri"/>
        <family val="1"/>
      </rPr>
      <t>0,1 &lt; R/H ≤ 0,2</t>
    </r>
  </si>
  <si>
    <t>SIN PROTECCIÓN FIJA</t>
  </si>
  <si>
    <r>
      <rPr>
        <sz val="8.5"/>
        <rFont val="Calibri"/>
        <family val="1"/>
      </rPr>
      <t>0,2 &lt; D/H ≤ 0,5</t>
    </r>
  </si>
  <si>
    <r>
      <rPr>
        <sz val="8.5"/>
        <rFont val="Calibri"/>
        <family val="1"/>
      </rPr>
      <t>0,2 &lt; R/H ≤ 0,5</t>
    </r>
  </si>
  <si>
    <r>
      <rPr>
        <b/>
        <sz val="8.5"/>
        <rFont val="Calibri"/>
        <family val="1"/>
      </rPr>
      <t>NorOeste</t>
    </r>
  </si>
  <si>
    <r>
      <rPr>
        <sz val="8.5"/>
        <rFont val="Calibri"/>
        <family val="1"/>
      </rPr>
      <t>D/H &gt; 0,5</t>
    </r>
  </si>
  <si>
    <r>
      <rPr>
        <sz val="8.5"/>
        <rFont val="Calibri"/>
        <family val="1"/>
      </rPr>
      <t>R/H &gt; 0,5</t>
    </r>
  </si>
  <si>
    <r>
      <rPr>
        <b/>
        <sz val="8.5"/>
        <rFont val="Calibri"/>
        <family val="1"/>
      </rPr>
      <t>NorEste</t>
    </r>
  </si>
  <si>
    <r>
      <rPr>
        <b/>
        <sz val="8.5"/>
        <rFont val="Calibri"/>
        <family val="1"/>
      </rPr>
      <t>Oeste</t>
    </r>
  </si>
  <si>
    <r>
      <rPr>
        <b/>
        <sz val="8.5"/>
        <rFont val="Calibri"/>
        <family val="1"/>
      </rPr>
      <t>Este</t>
    </r>
  </si>
  <si>
    <t>Este</t>
  </si>
  <si>
    <t>Oeste</t>
  </si>
  <si>
    <r>
      <rPr>
        <i/>
        <sz val="8"/>
        <rFont val="Calibri Light"/>
        <family val="1"/>
      </rPr>
      <t>NOTA: En caso de que exista un retranqueo, la longitud L se medirá desde el centro del acristalamiento.</t>
    </r>
  </si>
  <si>
    <t>Valor inicial</t>
  </si>
  <si>
    <t>L/H</t>
  </si>
  <si>
    <t>Zona</t>
  </si>
  <si>
    <t>Tramo 1</t>
  </si>
  <si>
    <t>Tramo 2</t>
  </si>
  <si>
    <t>Pendiente</t>
  </si>
  <si>
    <t>Desfase</t>
  </si>
  <si>
    <t>Constante</t>
  </si>
  <si>
    <t>D/H &gt; 0,5</t>
  </si>
  <si>
    <t>orientación</t>
  </si>
  <si>
    <t>ASHRAE 0 y 1 (Chile A y B)</t>
  </si>
  <si>
    <t>Anexo 1 Tabla 31</t>
  </si>
  <si>
    <t>Anexo 2 Tabla A.2</t>
  </si>
  <si>
    <t>Factor de reflexión - ρe,B</t>
  </si>
  <si>
    <r>
      <rPr>
        <b/>
        <sz val="8"/>
        <color rgb="FFFFFFFF"/>
        <rFont val="Calibri"/>
        <family val="1"/>
      </rPr>
      <t>Color</t>
    </r>
  </si>
  <si>
    <r>
      <rPr>
        <b/>
        <sz val="8"/>
        <color rgb="FFFFFFFF"/>
        <rFont val="Calibri"/>
        <family val="1"/>
      </rPr>
      <t>Claro</t>
    </r>
  </si>
  <si>
    <r>
      <rPr>
        <b/>
        <sz val="8"/>
        <color rgb="FFFFFFFF"/>
        <rFont val="Calibri"/>
        <family val="1"/>
      </rPr>
      <t>Medio</t>
    </r>
  </si>
  <si>
    <r>
      <rPr>
        <b/>
        <sz val="8"/>
        <color rgb="FFFFFFFF"/>
        <rFont val="Calibri"/>
        <family val="1"/>
      </rPr>
      <t>Oscuro</t>
    </r>
  </si>
  <si>
    <t>Factor de transmitancia - τe,B</t>
  </si>
  <si>
    <t xml:space="preserve"> τe,B</t>
  </si>
  <si>
    <t>Pastel</t>
  </si>
  <si>
    <t>Oscuro</t>
  </si>
  <si>
    <t>Negro</t>
  </si>
  <si>
    <r>
      <rPr>
        <b/>
        <sz val="8"/>
        <rFont val="Calibri"/>
        <family val="1"/>
      </rPr>
      <t>Blanco</t>
    </r>
  </si>
  <si>
    <r>
      <rPr>
        <sz val="8"/>
        <rFont val="Calibri"/>
        <family val="1"/>
      </rPr>
      <t>-</t>
    </r>
  </si>
  <si>
    <t>Opaco 0 - 3%</t>
  </si>
  <si>
    <t>τe,B</t>
  </si>
  <si>
    <t>Factor de transmitancia solar</t>
  </si>
  <si>
    <t>Cortina medianamente traslucida, color blanco.</t>
  </si>
  <si>
    <r>
      <rPr>
        <b/>
        <sz val="8"/>
        <rFont val="Calibri"/>
        <family val="1"/>
      </rPr>
      <t>Amarillo</t>
    </r>
  </si>
  <si>
    <t>ρe,B</t>
  </si>
  <si>
    <t>Factor de reflexión solar de la cara del lado de la radiación</t>
  </si>
  <si>
    <r>
      <rPr>
        <b/>
        <sz val="8"/>
        <rFont val="Calibri"/>
        <family val="1"/>
      </rPr>
      <t>Beige</t>
    </r>
  </si>
  <si>
    <t>Muy Translúcido 6% - 18%</t>
  </si>
  <si>
    <t>αe,B</t>
  </si>
  <si>
    <t>Coeficiente de absorción</t>
  </si>
  <si>
    <r>
      <rPr>
        <b/>
        <sz val="8"/>
        <rFont val="Calibri"/>
        <family val="1"/>
      </rPr>
      <t>Marrón</t>
    </r>
  </si>
  <si>
    <r>
      <rPr>
        <b/>
        <sz val="8"/>
        <rFont val="Calibri"/>
        <family val="1"/>
      </rPr>
      <t>Rojo</t>
    </r>
  </si>
  <si>
    <t>Persiana Interior</t>
  </si>
  <si>
    <t>Fuente</t>
  </si>
  <si>
    <r>
      <rPr>
        <b/>
        <sz val="8"/>
        <rFont val="Calibri"/>
        <family val="1"/>
      </rPr>
      <t>Verde</t>
    </r>
  </si>
  <si>
    <r>
      <t>G</t>
    </r>
    <r>
      <rPr>
        <sz val="9"/>
        <rFont val="Arial Nova Light"/>
        <family val="2"/>
      </rPr>
      <t>2</t>
    </r>
  </si>
  <si>
    <t xml:space="preserve">Coeficiente fijo en la norma W/(m ⋅K) </t>
  </si>
  <si>
    <t>UNE-EN 13363-1</t>
  </si>
  <si>
    <r>
      <rPr>
        <b/>
        <sz val="8"/>
        <rFont val="Calibri"/>
        <family val="1"/>
      </rPr>
      <t>Azul</t>
    </r>
  </si>
  <si>
    <t>G</t>
  </si>
  <si>
    <t>Conductancia térmica</t>
  </si>
  <si>
    <r>
      <rPr>
        <b/>
        <sz val="8"/>
        <rFont val="Calibri"/>
        <family val="1"/>
      </rPr>
      <t>Gris</t>
    </r>
  </si>
  <si>
    <t>g (total) interior</t>
  </si>
  <si>
    <r>
      <t xml:space="preserve">Factor de transmisión total de energía solar 
</t>
    </r>
    <r>
      <rPr>
        <b/>
        <sz val="10"/>
        <rFont val="Arial Nova Light"/>
        <family val="2"/>
      </rPr>
      <t>(acristalamiento + protección solar interior)</t>
    </r>
  </si>
  <si>
    <r>
      <rPr>
        <b/>
        <sz val="8"/>
        <rFont val="Calibri"/>
        <family val="1"/>
      </rPr>
      <t>Negro</t>
    </r>
  </si>
  <si>
    <r>
      <t>G</t>
    </r>
    <r>
      <rPr>
        <sz val="9"/>
        <rFont val="Arial Nova Light"/>
        <family val="2"/>
      </rPr>
      <t>1</t>
    </r>
  </si>
  <si>
    <t>g (total) exterior</t>
  </si>
  <si>
    <r>
      <t xml:space="preserve">Factor de transmisión total de energía solar 
</t>
    </r>
    <r>
      <rPr>
        <b/>
        <sz val="10"/>
        <rFont val="Arial Nova Light"/>
        <family val="2"/>
      </rPr>
      <t>(acristalamiento + protección solar exterior)</t>
    </r>
  </si>
  <si>
    <t>A6</t>
  </si>
  <si>
    <t>Ventilación natural</t>
  </si>
  <si>
    <t>Zonas Chile: Todas, con refuerzo en A, B, C Y D.</t>
  </si>
  <si>
    <t>Zonas ASHRAE: Todas, con refuerzo en las zonas 0, 1, 2 y 3</t>
  </si>
  <si>
    <t>Alternativa 1 No existe normativa local.</t>
  </si>
  <si>
    <t>Habitación</t>
  </si>
  <si>
    <t>Superficie total* m2</t>
  </si>
  <si>
    <t>Superficie de ventana</t>
  </si>
  <si>
    <t>Superficie de ventana operable</t>
  </si>
  <si>
    <t>Tipo de ventana predominante</t>
  </si>
  <si>
    <t>Requisito Minergie</t>
  </si>
  <si>
    <r>
      <t xml:space="preserve">Cuando </t>
    </r>
    <r>
      <rPr>
        <b/>
        <sz val="10"/>
        <color theme="0"/>
        <rFont val="Arial"/>
        <family val="2"/>
      </rPr>
      <t xml:space="preserve">no exista una normativa local </t>
    </r>
    <r>
      <rPr>
        <sz val="10"/>
        <color theme="0"/>
        <rFont val="Arial"/>
        <family val="2"/>
      </rPr>
      <t>con exigencia de superficie de ventana (%) respecto a la superficie de piso, se debe considerar una superficie de ventana operable de 4% mínimo.</t>
    </r>
  </si>
  <si>
    <r>
      <rPr>
        <b/>
        <u/>
        <sz val="10"/>
        <color theme="0"/>
        <rFont val="Arial"/>
        <family val="2"/>
      </rPr>
      <t>Área de abertura efectiva (referencia Manual CVS 2021)</t>
    </r>
    <r>
      <rPr>
        <sz val="10"/>
        <color theme="0"/>
        <rFont val="Arial"/>
        <family val="2"/>
      </rPr>
      <t xml:space="preserve">
</t>
    </r>
    <r>
      <rPr>
        <sz val="12"/>
        <color theme="0"/>
        <rFont val="Arial"/>
        <family val="2"/>
      </rPr>
      <t xml:space="preserve">Ae=a*b*seno </t>
    </r>
    <r>
      <rPr>
        <sz val="12"/>
        <color theme="0"/>
        <rFont val="Symbol"/>
        <family val="1"/>
        <charset val="2"/>
      </rPr>
      <t>a</t>
    </r>
    <r>
      <rPr>
        <sz val="10"/>
        <color theme="0"/>
        <rFont val="Arial"/>
        <family val="2"/>
      </rPr>
      <t xml:space="preserve">
Donde:
Ae: Área efectiva de abertura
a: Ancho del perímetro interior del marco que soporta la hoja batiente, oscilante o proyectante.
b: Altura del perímetro interior del marco que soporta la hoja batiente, oscilante o proyectante.
</t>
    </r>
    <r>
      <rPr>
        <sz val="10"/>
        <color theme="0"/>
        <rFont val="Symbol"/>
        <family val="1"/>
        <charset val="2"/>
      </rPr>
      <t>a: A</t>
    </r>
    <r>
      <rPr>
        <sz val="10"/>
        <color theme="0"/>
        <rFont val="Arial"/>
        <family val="2"/>
      </rPr>
      <t xml:space="preserve">ngulo de giro de la hoja batiente, oscilante o proyectante.
</t>
    </r>
    <r>
      <rPr>
        <b/>
        <sz val="10"/>
        <color theme="0"/>
        <rFont val="Arial"/>
        <family val="2"/>
      </rPr>
      <t xml:space="preserve">Para ventanas </t>
    </r>
    <r>
      <rPr>
        <b/>
        <u/>
        <sz val="10"/>
        <color theme="0"/>
        <rFont val="Arial"/>
        <family val="2"/>
      </rPr>
      <t>correderas</t>
    </r>
    <r>
      <rPr>
        <b/>
        <sz val="10"/>
        <color theme="0"/>
        <rFont val="Arial"/>
        <family val="2"/>
      </rPr>
      <t xml:space="preserve"> se debe asumir un área de apertura efectiva de </t>
    </r>
    <r>
      <rPr>
        <b/>
        <u/>
        <sz val="10"/>
        <color theme="0"/>
        <rFont val="Arial"/>
        <family val="2"/>
      </rPr>
      <t>50%</t>
    </r>
    <r>
      <rPr>
        <b/>
        <sz val="10"/>
        <color theme="0"/>
        <rFont val="Arial"/>
        <family val="2"/>
      </rPr>
      <t xml:space="preserve"> y para </t>
    </r>
    <r>
      <rPr>
        <b/>
        <u/>
        <sz val="10"/>
        <color theme="0"/>
        <rFont val="Arial"/>
        <family val="2"/>
      </rPr>
      <t>batientes u oscilobatientes</t>
    </r>
    <r>
      <rPr>
        <b/>
        <sz val="10"/>
        <color theme="0"/>
        <rFont val="Arial"/>
        <family val="2"/>
      </rPr>
      <t xml:space="preserve"> se puede asumir una apertura efectiva del </t>
    </r>
    <r>
      <rPr>
        <b/>
        <u/>
        <sz val="10"/>
        <color theme="0"/>
        <rFont val="Arial"/>
        <family val="2"/>
      </rPr>
      <t>100%</t>
    </r>
    <r>
      <rPr>
        <b/>
        <sz val="10"/>
        <color theme="0"/>
        <rFont val="Arial"/>
        <family val="2"/>
      </rPr>
      <t xml:space="preserve"> </t>
    </r>
  </si>
  <si>
    <t>* Superficie útil del recinto de evaluación</t>
  </si>
  <si>
    <t>Alternativa 2 Respecto de la normativa local.</t>
  </si>
  <si>
    <t>Normativa Local (nombre)</t>
  </si>
  <si>
    <t>Normativa Mexicana</t>
  </si>
  <si>
    <t>Cocina</t>
  </si>
  <si>
    <t>Exigencia (%)</t>
  </si>
  <si>
    <t>Dormitorio 3</t>
  </si>
  <si>
    <r>
      <t xml:space="preserve">Cuando el proyecto se encuentra en una zona </t>
    </r>
    <r>
      <rPr>
        <b/>
        <sz val="10"/>
        <color theme="0"/>
        <rFont val="Arial"/>
        <family val="2"/>
      </rPr>
      <t xml:space="preserve">con normativa local </t>
    </r>
    <r>
      <rPr>
        <sz val="10"/>
        <color theme="0"/>
        <rFont val="Arial"/>
        <family val="2"/>
      </rPr>
      <t>para la superficie mínima de ventana operable (%) respecto a la superficie de piso, se debe declarar este porcentaje de exigencia y la normativa desde la que se extrae.</t>
    </r>
  </si>
  <si>
    <t>A7</t>
  </si>
  <si>
    <t>Materiales sostenibles y reducción de la huella de carbono</t>
  </si>
  <si>
    <t>Superficie construida m2</t>
  </si>
  <si>
    <t>Período de evaluación ACV Minergie (años)</t>
  </si>
  <si>
    <t>Cálculo de carbono en operación (2 alternativas de cálculo)</t>
  </si>
  <si>
    <t>Alternativa 1</t>
  </si>
  <si>
    <t>Carbono CEV</t>
  </si>
  <si>
    <t>Consumo por m2 (kWh/m2 anual)</t>
  </si>
  <si>
    <t>Emisiones de CO2e CEV (kgCO2/m2 anual)</t>
  </si>
  <si>
    <t>Arquitectura + Equipos + tipo de energía</t>
  </si>
  <si>
    <r>
      <t xml:space="preserve">1. - Alternativa 1: para verificar el </t>
    </r>
    <r>
      <rPr>
        <b/>
        <sz val="10"/>
        <color theme="0"/>
        <rFont val="Arial"/>
        <family val="2"/>
      </rPr>
      <t xml:space="preserve">carbono operacional </t>
    </r>
    <r>
      <rPr>
        <sz val="10"/>
        <color theme="0"/>
        <rFont val="Arial"/>
        <family val="2"/>
      </rPr>
      <t>de su proyecto, Usted puede indicar directamente el valor que entrega el Informe CEV o puede calcular con los factores de emisión para energía final indicados por Minergie</t>
    </r>
  </si>
  <si>
    <t>Alternativa 2</t>
  </si>
  <si>
    <t>Tipo de energético</t>
  </si>
  <si>
    <t>Tipo.Energético.Minergie</t>
  </si>
  <si>
    <t xml:space="preserve">2 . Alternativa 2: Primero desplegar la selección del "Tipo de Energético", donde se optará por "Energético Minergie" o "Energético Personal", el primero corresponde a los factores de emisión obtenidos el IPCC para los países de Chile y México del año 2020. La segunda opción correspondiente al  "Tipo Energético Personal" , se encuentra habilitada para incorporar otro tipo de energético con sus respectivos factores de emisión o factores actualizados, es importante dejar la fuente desde donde se obtuvo la información del energético utilizado. </t>
  </si>
  <si>
    <t xml:space="preserve">Para calcular el aporte de ERNC, consulte al proveedor del sistema solar o dirijase a  los links de enlance.
En dicho sitio, primero elija la ubicación del proyecto, luego la alternativa de ERNC que quiere calcular. El dato a ingresar en el apartado de "Capacidad Instalada" en KW, corresponde a la potencia mínima requerida por Minergie (Potencia Mínima Requerida ERNC) . La herramienta entregará un resultado de generación fotovoltaica anual, de acuerdo a los datos entregados, que luego debe dividir por la superficie acondicionada para obtener el consumo por m2 (KWh/m2 anual)  </t>
  </si>
  <si>
    <t>Explorador solar Chile</t>
  </si>
  <si>
    <t>Carbono Operacional</t>
  </si>
  <si>
    <t xml:space="preserve">Factor de emisión (kgCO2e/kWh) </t>
  </si>
  <si>
    <t>Emisiones de CO2e (kgCO2e/m2 anual)</t>
  </si>
  <si>
    <t>Explorador solar México</t>
  </si>
  <si>
    <t>ACS</t>
  </si>
  <si>
    <t>Potencia Mínima Requerida ERNC [kWp]</t>
  </si>
  <si>
    <t>Iluminación</t>
  </si>
  <si>
    <t>Calefacción</t>
  </si>
  <si>
    <t>Ventilación</t>
  </si>
  <si>
    <t>ERNC (aporte energía uso final)</t>
  </si>
  <si>
    <t>Tabla Energético Personal</t>
  </si>
  <si>
    <t>Cálculo de carbono incorporado o embebido</t>
  </si>
  <si>
    <t>Carbono Incorporado (A1-A3)</t>
  </si>
  <si>
    <t>N° DAP</t>
  </si>
  <si>
    <t>Unidad de medida</t>
  </si>
  <si>
    <t>GWP (KgCO2e)*</t>
  </si>
  <si>
    <t>Cantidad (respetando unidad de medida)</t>
  </si>
  <si>
    <t>Total KgCO2e</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</si>
  <si>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incorpore los valores en la Biblioteca Personal</t>
  </si>
  <si>
    <t>Ir  a Biblioteca Personal DAP</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</si>
  <si>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</si>
  <si>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</si>
  <si>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</si>
  <si>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</si>
  <si>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</si>
  <si>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</si>
  <si>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</si>
  <si>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</si>
  <si>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</si>
  <si>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Biblioteca DAP Personal</t>
  </si>
  <si>
    <t>Energético Personal</t>
  </si>
  <si>
    <t>Material.Biblioteca.Personal</t>
  </si>
  <si>
    <t>kgCO2e</t>
  </si>
  <si>
    <t>Fecha Caducidad</t>
  </si>
  <si>
    <t>Vencimiento</t>
  </si>
  <si>
    <t>Otro Energético</t>
  </si>
  <si>
    <t>Factor de emisión</t>
  </si>
  <si>
    <t>PRUEBA MATERIAL PERSONAL 1</t>
  </si>
  <si>
    <t>PRUEBA ENERGÉTICO 1</t>
  </si>
  <si>
    <t>PRUEBA ENERGÉTICO 2</t>
  </si>
  <si>
    <t>A7.a</t>
  </si>
  <si>
    <t>Materiales renovables locales como estructura principal</t>
  </si>
  <si>
    <t>Superficie total (m2)</t>
  </si>
  <si>
    <t>Superficie en material renovable  local (m2)</t>
  </si>
  <si>
    <t>Porcentaje en material renovable local</t>
  </si>
  <si>
    <t>Paredes exteriores</t>
  </si>
  <si>
    <t xml:space="preserve">Se considera como parte de la estructura portante la superficie total de: 
− Los elementos de la envolvente (paredes exteriores estructurales y techos; se excluyen las ventanas y puertas).
− Las losas sobre el nivel de terreno.
− Los muros portantes interiores sobre el nivel de terreno.
Los siguientes elementos de construcción no se incluyen en el cálculo de superficie total de la estructura portante, en el marco de este requisito: 
− Las escaleras.
− Las cajas de ascensor.
− Las sobrelosas en hormigon de hasta 8 cm de espesor (sistema mixto). </t>
  </si>
  <si>
    <t>CLT + Hormigón</t>
  </si>
  <si>
    <t>Techos</t>
  </si>
  <si>
    <t>CLT +  Hormigón</t>
  </si>
  <si>
    <t>Losas</t>
  </si>
  <si>
    <t>CLT + sobrelosa HA</t>
  </si>
  <si>
    <t>Muros interiores portantes</t>
  </si>
  <si>
    <t>Hormigón</t>
  </si>
  <si>
    <t xml:space="preserve">Tabiques </t>
  </si>
  <si>
    <t>Total proyecto (solo superficies)</t>
  </si>
  <si>
    <t>Requerimiento Minergie</t>
  </si>
  <si>
    <t>A7.b</t>
  </si>
  <si>
    <t>Materiales renovables locales como materiales principales no estructurales</t>
  </si>
  <si>
    <t>Unidad</t>
  </si>
  <si>
    <t>Total componente</t>
  </si>
  <si>
    <t>Componente en material renovable local</t>
  </si>
  <si>
    <t>Tipo / naturaleza de material renovable local</t>
  </si>
  <si>
    <t xml:space="preserve">Estructura de tabiques interiores </t>
  </si>
  <si>
    <r>
      <t xml:space="preserve">Se consideran los siguientes elementos:
− Estructura de tabiques interiores o de envolvente (p.ej. metálica o de madera).
− Mobiliario fijo.
− Puertas interiores.
</t>
    </r>
    <r>
      <rPr>
        <u/>
        <sz val="10"/>
        <color theme="0"/>
        <rFont val="Arial"/>
        <family val="2"/>
      </rPr>
      <t>Tipo / naturaleza de material renovable local:</t>
    </r>
    <r>
      <rPr>
        <sz val="10"/>
        <color theme="0"/>
        <rFont val="Arial"/>
        <family val="2"/>
      </rPr>
      <t xml:space="preserve"> indique si se refiere a madera o derivados, adobe, piedra, etc.</t>
    </r>
  </si>
  <si>
    <t>Pies derechos</t>
  </si>
  <si>
    <t>Mobiliario fijo</t>
  </si>
  <si>
    <t>número</t>
  </si>
  <si>
    <t>Closets</t>
  </si>
  <si>
    <t>un</t>
  </si>
  <si>
    <t>Puertas interiores</t>
  </si>
  <si>
    <t>Recintos interiores</t>
  </si>
  <si>
    <t>Baños y cocina</t>
  </si>
  <si>
    <t>Ingreso</t>
  </si>
  <si>
    <t>Total proyecto</t>
  </si>
  <si>
    <t>A8.b</t>
  </si>
  <si>
    <t>Elementos constructivos expuestos a la lluvia sin metales pesados</t>
  </si>
  <si>
    <t>Superficie con metales pesados no protegidos (m2)</t>
  </si>
  <si>
    <t>Requerimiento Minergie superficie (m2)</t>
  </si>
  <si>
    <t>Porcentaje con metales pesados</t>
  </si>
  <si>
    <t>Requerimiento Minergie %</t>
  </si>
  <si>
    <t>Requerimiento E2.b cumplido</t>
  </si>
  <si>
    <t>≤50</t>
  </si>
  <si>
    <t>&lt;10%</t>
  </si>
  <si>
    <t>Principal</t>
  </si>
  <si>
    <t>Secundario</t>
  </si>
  <si>
    <t>Muros exteriores y bordes de ventanas</t>
  </si>
  <si>
    <t>≤300</t>
  </si>
  <si>
    <t>&lt;25%</t>
  </si>
  <si>
    <t>Marco de ventana</t>
  </si>
  <si>
    <t xml:space="preserve">Se autoriza excepcionalmente esos materiales (excepto el plomo) sobre una superficie de menos de 10% de la techumbre (y 50 m2 máximo) y de menos de 25% (y 300 m2 máximo) de las fachadas. </t>
  </si>
  <si>
    <t>Nombre del producto</t>
  </si>
  <si>
    <t>Nombre del fabricante</t>
  </si>
  <si>
    <t>Tipo de producto o lugar de instalación en la edificación</t>
  </si>
  <si>
    <t>Plomo</t>
  </si>
  <si>
    <t>Cobre</t>
  </si>
  <si>
    <t>Zinc-titanio bruto</t>
  </si>
  <si>
    <t>Acero galvanizado</t>
  </si>
  <si>
    <t>Acero bruto</t>
  </si>
  <si>
    <t>Ficha</t>
  </si>
  <si>
    <t>Material techumbre prin,</t>
  </si>
  <si>
    <t>Proveedor</t>
  </si>
  <si>
    <t>Techo</t>
  </si>
  <si>
    <t>No tiene</t>
  </si>
  <si>
    <t>Listo</t>
  </si>
  <si>
    <t>Material techumbre secun.</t>
  </si>
  <si>
    <t>Tiene</t>
  </si>
  <si>
    <t>Marcos de ventana</t>
  </si>
  <si>
    <t>techo</t>
  </si>
  <si>
    <t>A9</t>
  </si>
  <si>
    <t>Espacios interiores más sanos</t>
  </si>
  <si>
    <t>PINTURAS</t>
  </si>
  <si>
    <t xml:space="preserve">− Los barnices con plomo están prohibidos.
− Las pinturas y barnices con una cantidad de solventes o COV superior al 25 % de su masa están prohibidos en espacios interiores calefaccionados. </t>
  </si>
  <si>
    <t>Nombre producto</t>
  </si>
  <si>
    <t>Nombre fabricante</t>
  </si>
  <si>
    <t>Recinto en el que se usa</t>
  </si>
  <si>
    <t>¿Sin plomo?</t>
  </si>
  <si>
    <t>Espacios interiores acondicionados</t>
  </si>
  <si>
    <t>Cantidad de COV</t>
  </si>
  <si>
    <t>Esmalte al agua</t>
  </si>
  <si>
    <t>SI</t>
  </si>
  <si>
    <t>NO</t>
  </si>
  <si>
    <t>Si tiene</t>
  </si>
  <si>
    <t>BARNICES</t>
  </si>
  <si>
    <t xml:space="preserve">− Los pinturas con una cantidad de solventes o COV superior al 25 % de su masa están prohibidos en espacios interiores calefaccionados. </t>
  </si>
  <si>
    <t>UVI WAX</t>
  </si>
  <si>
    <t>OSMO</t>
  </si>
  <si>
    <t>Todos interiores</t>
  </si>
  <si>
    <t>PRODUCTOS DE MADERA O EN BASE A MADERA</t>
  </si>
  <si>
    <t>− La madera tratada con CCA (Cobre, Cromo y Arsénico) o con productos en base a SBX (óxido de boro) está prohibida. 
− Los materiales y productos de madera o en base a madera con alto contenido en formaldehído están prohibidos en contacto con los espacios interiores. 
− El contenido de formaldehido debe ser inferior a 8mg/100g de madera o 0,1ppm o 0,124mg/m3 de aire.
− El cumplimiento respecto al formaldehido se acepta si el producto tiene certificado E0, E1, CARB2, EPA.</t>
  </si>
  <si>
    <t>Espacio interior</t>
  </si>
  <si>
    <t>¿Sin CCA?</t>
  </si>
  <si>
    <t>¿Sin SBX?</t>
  </si>
  <si>
    <t>Contenido en formaldeido</t>
  </si>
  <si>
    <t>MATERIALES QUE LIBEREN FIBRAS MINERALES RESPIRABLES</t>
  </si>
  <si>
    <t>− Materiales que liberen fibras minerales respirables (por ejemplo, los materiales de aislamiento de fibra mineral) no deben estar en contacto directo con el aire de la habitación. Es necesario un revestimiento completo, por ejemplo, con tablas, vellón o papel reforzado.</t>
  </si>
  <si>
    <t>¿Existe una lámina o elemento de separación entre el material con fibras minerales y el aire de la habitación?</t>
  </si>
  <si>
    <t>A9.a</t>
  </si>
  <si>
    <t xml:space="preserve">Protección contra el ruido </t>
  </si>
  <si>
    <t>AISLAMIENTO ACÚSTICO ENVOLVENTE</t>
  </si>
  <si>
    <t>Celdas necesarias para el cálculo a ocultar</t>
  </si>
  <si>
    <t>Elemento opaco de envolvente (vertical y horizontal)</t>
  </si>
  <si>
    <t>Descripción paquete constructivo</t>
  </si>
  <si>
    <t>Documento de respaldo de aislación</t>
  </si>
  <si>
    <t>Superficie (m2)</t>
  </si>
  <si>
    <t>% de superficie</t>
  </si>
  <si>
    <t>&gt;45 dB(A)</t>
  </si>
  <si>
    <t>10^0,1xri</t>
  </si>
  <si>
    <t>Σ(Si/10^(0,1xri))</t>
  </si>
  <si>
    <t>Si/Si/10^0,1xri</t>
  </si>
  <si>
    <t>Muros principales</t>
  </si>
  <si>
    <t xml:space="preserve">Muro de hormigón armado espesor 160mm, 3mm de yeso por cara y capa de pintura </t>
  </si>
  <si>
    <t>LSCAA MINVU</t>
  </si>
  <si>
    <t>Muros secundarios</t>
  </si>
  <si>
    <t>Tabique perfiles acero galvanizado cada 60cm, lana de vidrio 80mm, 2 planchas yesocarton por cara</t>
  </si>
  <si>
    <t>Elemento liviano de envolvente (puertas y ventanas)</t>
  </si>
  <si>
    <t>DVH 6/12/6</t>
  </si>
  <si>
    <t>Manual CES</t>
  </si>
  <si>
    <t>ENVOLVENTE TOTAL</t>
  </si>
  <si>
    <t>Resultados</t>
  </si>
  <si>
    <t>PRESIÓN ACÚSTICA DE IMPACTO NORMALIZADO</t>
  </si>
  <si>
    <t>Tipo de elemento</t>
  </si>
  <si>
    <t>≤60 dB</t>
  </si>
  <si>
    <t>Losa entrepiso</t>
  </si>
  <si>
    <t>ANCLAJE DE TUBERIAS</t>
  </si>
  <si>
    <t>Tipo de tubería</t>
  </si>
  <si>
    <t>Anclaje con sujetadores elásticos</t>
  </si>
  <si>
    <t>Incluido en EETT</t>
  </si>
  <si>
    <t>Agua</t>
  </si>
  <si>
    <t>Presente</t>
  </si>
  <si>
    <t>Alcantarillado</t>
  </si>
  <si>
    <t>Ausente</t>
  </si>
  <si>
    <t>Si</t>
  </si>
  <si>
    <t>Área del elemento constructivo</t>
  </si>
  <si>
    <t>Ri</t>
  </si>
  <si>
    <t>Aislamiento acústico especifico</t>
  </si>
  <si>
    <t>sum Si</t>
  </si>
  <si>
    <t>RG</t>
  </si>
  <si>
    <t>A9.b</t>
  </si>
  <si>
    <t>Sin biocidas en espacios interiores</t>
  </si>
  <si>
    <t>Recinto acondicionado</t>
  </si>
  <si>
    <t>Contiene Biocidas</t>
  </si>
  <si>
    <t>Terciado estructural</t>
  </si>
  <si>
    <t>Terciado terminaciones</t>
  </si>
  <si>
    <t>T2</t>
  </si>
  <si>
    <t>Autoproducción de energía</t>
  </si>
  <si>
    <t>Superficie de cubierta</t>
  </si>
  <si>
    <t>Completar</t>
  </si>
  <si>
    <t>1. Completar superficie de cubierta</t>
  </si>
  <si>
    <t>Tipo de Sistema de generación de energía</t>
  </si>
  <si>
    <t>Sistema.Fotovoltaico</t>
  </si>
  <si>
    <t>2. Desplegar opción de Sistema de generación de energía. Opción "Mixto" Permite combinar Sistema de generación Fotovoltaica y calefactor Solar</t>
  </si>
  <si>
    <t>Tipo de energético para cocina</t>
  </si>
  <si>
    <t>Eléctricidad. FV</t>
  </si>
  <si>
    <t>3. Desplegar tipo de energético para cocina</t>
  </si>
  <si>
    <t>Tipo de energético para cocina sist. mixto</t>
  </si>
  <si>
    <t>Eléctricidad. CS</t>
  </si>
  <si>
    <t>4. Desplegar solo en caso que se use Opción 4</t>
  </si>
  <si>
    <t>Compensación de Cocina por gas</t>
  </si>
  <si>
    <t>Evaluación de cumplimiento T2 (Obligatorio)</t>
  </si>
  <si>
    <t>Opción 1</t>
  </si>
  <si>
    <t>A) Sistema Fotovoltaico (FV)</t>
  </si>
  <si>
    <t>Superficie panel</t>
  </si>
  <si>
    <t>1. Completar con superficie de panel desde ficha técnica del proveedor</t>
  </si>
  <si>
    <t xml:space="preserve">Cantidad </t>
  </si>
  <si>
    <t>2. Completar cantidad de paneles a instalar en el proyecto</t>
  </si>
  <si>
    <t>Superficie destinada a paneles</t>
  </si>
  <si>
    <t>Tipo de edificación</t>
  </si>
  <si>
    <t>Vivienda</t>
  </si>
  <si>
    <t xml:space="preserve">3. Desplegar tipo de edificación </t>
  </si>
  <si>
    <t>Potencia mínima requerida (FV)</t>
  </si>
  <si>
    <t>Potencia instalada</t>
  </si>
  <si>
    <t xml:space="preserve">Potencia de 1 panel </t>
  </si>
  <si>
    <t>4. Completar potencia de panel kWp desde ficha técnica de proveedor</t>
  </si>
  <si>
    <t>Potencial eléctrico fotovoltaico del sistema</t>
  </si>
  <si>
    <t>Potencial Eléctrico instalado</t>
  </si>
  <si>
    <t xml:space="preserve">Evaluación </t>
  </si>
  <si>
    <t>Sin Excepción</t>
  </si>
  <si>
    <t>celda necesaria</t>
  </si>
  <si>
    <t>En el caso de edificios en altura  en los que el valor mínimo supere la superficie de cubierta, se deberá considerar el uso para la instalación fotovoltaica de toda la superficie de cubierta disponible, debiendo ser de al menos la mitad de la superficie total de la cubierta</t>
  </si>
  <si>
    <t>En caso de no cumplimiento, se presenta la cantidad de paneles requeridos para cumplimiento</t>
  </si>
  <si>
    <t>Cantidad paneles faltantes para cumplimiento</t>
  </si>
  <si>
    <t>Opción 2</t>
  </si>
  <si>
    <t>B) Colectores Solares</t>
  </si>
  <si>
    <t>Superficie Colector solar</t>
  </si>
  <si>
    <t>1. Completar superficie en m2 del colector solar</t>
  </si>
  <si>
    <t>2. Completar cantidad de colectores solares</t>
  </si>
  <si>
    <t xml:space="preserve">Superficie Mínimo de absorción 
del Colector </t>
  </si>
  <si>
    <t>Colector instalado</t>
  </si>
  <si>
    <t>Superficie Colector Solar</t>
  </si>
  <si>
    <t>Dimensión Colector instalado</t>
  </si>
  <si>
    <t>Opción 3</t>
  </si>
  <si>
    <t>C) Otro sistema</t>
  </si>
  <si>
    <t>Potencia Sistema Instalado</t>
  </si>
  <si>
    <t>1. Completar potencia del sistema instalado justificando cálculos por medio de memoria técnica</t>
  </si>
  <si>
    <t>Dimensión Sistema instalado</t>
  </si>
  <si>
    <t>Opción 4</t>
  </si>
  <si>
    <t>D) Mixto: Sistema Fotovoltaico, Colectores solares y otros</t>
  </si>
  <si>
    <t>Edificio en altura</t>
  </si>
  <si>
    <t>Es necesario?</t>
  </si>
  <si>
    <t>Celdas ocultas necesrias</t>
  </si>
  <si>
    <t>Cálculara de acuerdo a FV</t>
  </si>
  <si>
    <t>Celdas necesarias</t>
  </si>
  <si>
    <t>Potencia FV instalada</t>
  </si>
  <si>
    <t>Factores sis. Energetico</t>
  </si>
  <si>
    <t xml:space="preserve">Potencia panel </t>
  </si>
  <si>
    <t>Elección del tipo de Sistema primario</t>
  </si>
  <si>
    <t>Sistema de generación Fotovoltaico</t>
  </si>
  <si>
    <t>5. Desplegar si se utilizará Sistema de generación Fotovoltaica u Otro sistema</t>
  </si>
  <si>
    <t>Potencial eléctrico fotovoltaico</t>
  </si>
  <si>
    <t>6. Completar potencia del sistema instalado, respaldar mediante memoria de cálculo</t>
  </si>
  <si>
    <t>Si aplica la excepción, tendrá que cubrir el otro 50% con colector</t>
  </si>
  <si>
    <t>Superficie restante por cubrir</t>
  </si>
  <si>
    <t>Cálculará de acuerdo a CS</t>
  </si>
  <si>
    <t>Otro</t>
  </si>
  <si>
    <t>Colector solar instalado</t>
  </si>
  <si>
    <t>Superficie Colector solar instalado</t>
  </si>
  <si>
    <t>7. Completar superficie en m2 del colector solar</t>
  </si>
  <si>
    <t>8. Completar cantidad de colectores solares</t>
  </si>
  <si>
    <t>Total</t>
  </si>
  <si>
    <t>En caso de no cumplimiento, se presenta la cantidad de colectores requeridos para cumplimiento</t>
  </si>
  <si>
    <t>Cantidad colectores faltantes para cumplimiento</t>
  </si>
  <si>
    <t>Dimensionamiento Sistema Mixto</t>
  </si>
  <si>
    <t>Evaluación de cumplimiento T2.a (Electivo)</t>
  </si>
  <si>
    <t>Opciones de cumplimiento</t>
  </si>
  <si>
    <t>Superficie cubierta</t>
  </si>
  <si>
    <t>1. Desplegar Alternativa de cumplimiento, si será mediante superficie del 100% de cubierta o neteo de energia</t>
  </si>
  <si>
    <t>Alternativa 1
T2.a</t>
  </si>
  <si>
    <t>Potencial</t>
  </si>
  <si>
    <t>Superficie paneles</t>
  </si>
  <si>
    <t xml:space="preserve">Requerimiento Mínimo </t>
  </si>
  <si>
    <t>Alternativa 2
T2.a</t>
  </si>
  <si>
    <t>Neteo energía</t>
  </si>
  <si>
    <t>Consumo total</t>
  </si>
  <si>
    <t>kWh/año</t>
  </si>
  <si>
    <t>2. Completar consumo total de energía kWh/año, justificación por mediante memoria de cálculo</t>
  </si>
  <si>
    <t>Producción de energia en el sitio</t>
  </si>
  <si>
    <t>3. Completar producción de energía en el sitio, justificación mediante memoria de cálculo</t>
  </si>
  <si>
    <t>TABLAS USADAS</t>
  </si>
  <si>
    <t>Tipo1</t>
  </si>
  <si>
    <t>tipo 2</t>
  </si>
  <si>
    <r>
      <t>Energeticos Sistema</t>
    </r>
    <r>
      <rPr>
        <sz val="10"/>
        <color theme="0"/>
        <rFont val="Arial"/>
        <family val="2"/>
      </rPr>
      <t>.Fotovoltaico</t>
    </r>
  </si>
  <si>
    <t>Tipo de cocina</t>
  </si>
  <si>
    <t>Requerimiento</t>
  </si>
  <si>
    <t>unidad</t>
  </si>
  <si>
    <t>Gas. FV</t>
  </si>
  <si>
    <t>Energeticos Colector.solar</t>
  </si>
  <si>
    <t>Gas. CS</t>
  </si>
  <si>
    <t>m2/m2</t>
  </si>
  <si>
    <t>Tipos de generaciónde energía</t>
  </si>
  <si>
    <r>
      <t>Sistema</t>
    </r>
    <r>
      <rPr>
        <sz val="10"/>
        <color theme="4"/>
        <rFont val="Arial"/>
        <family val="2"/>
      </rPr>
      <t>.</t>
    </r>
    <r>
      <rPr>
        <sz val="10"/>
        <color theme="1"/>
        <rFont val="Arial"/>
        <family val="2"/>
      </rPr>
      <t>Fotovoltaico</t>
    </r>
  </si>
  <si>
    <t>Colector.solar</t>
  </si>
  <si>
    <t>Otros.sistemas</t>
  </si>
  <si>
    <t>Mixto</t>
  </si>
  <si>
    <t>SOLO OPCIÓN 4</t>
  </si>
  <si>
    <t>T6</t>
  </si>
  <si>
    <t>Uso eficiente de agua</t>
  </si>
  <si>
    <t>Zonas Chile: Todas, con refuerzo en las zonas A, B, C, D y E</t>
  </si>
  <si>
    <t>Zonas ASHRAE: Todas, con refuerzo en las zonas 0B, 1B, 2B y 3B</t>
  </si>
  <si>
    <t>Inodoro</t>
  </si>
  <si>
    <t>Lugar de instalación en la edificación</t>
  </si>
  <si>
    <t>Botón de cantidad pequeña</t>
  </si>
  <si>
    <t>Volumen de descarga 
(Litros)</t>
  </si>
  <si>
    <t>Volumen de descarga máximo (Litros)</t>
  </si>
  <si>
    <t>Griferia</t>
  </si>
  <si>
    <t>Caudal (Litros/minutos)</t>
  </si>
  <si>
    <t>Caudal máximo
(Litros/minutos)</t>
  </si>
  <si>
    <t>Lavaplatos</t>
  </si>
  <si>
    <t>Hansgrohe</t>
  </si>
  <si>
    <t>Ducha</t>
  </si>
  <si>
    <t>Baño</t>
  </si>
  <si>
    <t>Lavadero / lavacopa</t>
  </si>
  <si>
    <t>Wasser</t>
  </si>
  <si>
    <t>Quincho</t>
  </si>
  <si>
    <t>Ubicación del proyecto</t>
  </si>
  <si>
    <t>Demanda anual en agua</t>
  </si>
  <si>
    <t>Cantidad de agua lluvia local por año</t>
  </si>
  <si>
    <t>Información extraida desde:</t>
  </si>
  <si>
    <r>
      <rPr>
        <b/>
        <sz val="10"/>
        <color theme="0"/>
        <rFont val="Arial"/>
        <family val="2"/>
      </rPr>
      <t xml:space="preserve">Concepto de uso eficiente del agua
</t>
    </r>
    <r>
      <rPr>
        <sz val="10"/>
        <color theme="0"/>
        <rFont val="Arial"/>
        <family val="2"/>
      </rPr>
      <t xml:space="preserve">Incluir fichas técnicas de artefactos, la evaluación de demanda anual de agua con su descripción, y los anexos necesarios que describan lo siguiente:
− Estrategias de reducción del uso de agua potable para el riego, incluido descripción del sistema de riego.
− Estrategias de captación, acumulación y uso del agua lluvia.
− Corta descripción de cómo se hace el tratamiento funcional del agua negra, de manera de regresar un agua limpia al ciclo natural de agua: dentro del propio terreno o conjunto o en el municipio.
− Descripción de las medidas para reducir la descarga de aguas residuales en las canalizaciones:
− Consideraciones respecto al tratamiento de las aguas grises.
</t>
    </r>
    <r>
      <rPr>
        <b/>
        <sz val="10"/>
        <color theme="0"/>
        <rFont val="Arial"/>
        <family val="2"/>
      </rPr>
      <t xml:space="preserve">
Cumplimiento de los requisitos de caudales máximos</t>
    </r>
    <r>
      <rPr>
        <sz val="10"/>
        <color theme="0"/>
        <rFont val="Arial"/>
        <family val="2"/>
      </rPr>
      <t xml:space="preserve">
Para el cumplimiento de los caudales máximo está autoriza el uso de aireadores mientras se entregue la ficha técnica de dicho aireador y se puede demostrar la reducción del caudal hasta el límite requerido. Se diferencian los caudales de las llaves de la cocina y de las fuera de la cocina porque en algunos países se requiere más caudal en la cocina que en los demás lavamanos.
</t>
    </r>
    <r>
      <rPr>
        <b/>
        <sz val="10"/>
        <color theme="0"/>
        <rFont val="Arial"/>
        <family val="2"/>
      </rPr>
      <t>Medidas de reducción del consumo de agua del sistema de riego</t>
    </r>
    <r>
      <rPr>
        <sz val="10"/>
        <color theme="0"/>
        <rFont val="Arial"/>
        <family val="2"/>
      </rPr>
      <t xml:space="preserve">
La implementación de una medida de reducción del consumo de agua del sistema de riego es obligatoria en las zonas climáticas ASHRAE 0B, 1B, 2B y 3B; o en Chile en las zonas climáticas A hasta E. Como medidas que permiten minimizar el consumo de agua, se reconocen los sistemas de riego automatizado siguientes:
− Riego por aspersión (regador de impacto, boquilla fija y rotores o rotores MP rotador)
− Microjet y micro-aspersores
− Goteo.
El riego por manguera o por sistemas de riego no automatizados está prohibido en las zonas climáticas mencionadas.</t>
    </r>
  </si>
  <si>
    <t>Paquetes constructivos (orden de capas de espacio evaluado a exterior u otro espacio )</t>
  </si>
  <si>
    <r>
      <t>kJ/m</t>
    </r>
    <r>
      <rPr>
        <vertAlign val="superscript"/>
        <sz val="11"/>
        <color theme="1"/>
        <rFont val="Calibri"/>
        <family val="2"/>
        <scheme val="minor"/>
      </rPr>
      <t>2</t>
    </r>
    <r>
      <rPr>
        <sz val="10"/>
        <color theme="1"/>
        <rFont val="Arial"/>
        <family val="2"/>
      </rPr>
      <t>K</t>
    </r>
  </si>
  <si>
    <t>Pisos / Entrepisos</t>
  </si>
  <si>
    <t>Paquete Piso</t>
  </si>
  <si>
    <t>Capacidad calorifica</t>
  </si>
  <si>
    <t>Biblioteca.Personal.Paquetes</t>
  </si>
  <si>
    <t>PAQUETES DE PISO</t>
  </si>
  <si>
    <t>P1</t>
  </si>
  <si>
    <t>Cerámica + Sobrelosa concreto 6cm + barrera de vapor + Aislación térmica 12cm + Barrera Humedad + Radier Hormigón Armado 20cm + Barrera humedad + Ripio 10cm</t>
  </si>
  <si>
    <t>LSC</t>
  </si>
  <si>
    <t>P1.  Cerámica + Sobrelosa concreto 6cm + barrera de vapor + Aislación térmica 12cm + Barrera Humedad + Radier Hormigón Armado 20cm + Barrera humedad + Ripio 10cm</t>
  </si>
  <si>
    <t>255</t>
  </si>
  <si>
    <t>P2</t>
  </si>
  <si>
    <t>Radier de Hormigón Armado 10cm + Aislación térmica 12cm + polietileno 0,2mm + Ripio 10cm</t>
  </si>
  <si>
    <t>Casa Covarrubias</t>
  </si>
  <si>
    <t>P3</t>
  </si>
  <si>
    <t>Ceramicas + sobrelosa concreto 3cm + aislación 2cm + Losa HA 15cm + Aislación 10cm</t>
  </si>
  <si>
    <t>Burgos piso 1</t>
  </si>
  <si>
    <t>P3.  Ceramicas + sobrelosa concreto 3cm + aislación 2cm + Losa HA 15cm + Aislación 10cm</t>
  </si>
  <si>
    <t>P4</t>
  </si>
  <si>
    <t>Ceramicas + lámina de corcho + sobrelosa concreto 8cm + terciado 18mm + aislación 12cm + plancha yesocartón 15mm + terciado 18mm</t>
  </si>
  <si>
    <t>Burgos entre pisos</t>
  </si>
  <si>
    <t>P4.  Ceramicas + lámina de corcho + sobrelosa concreto 8cm + terciado 18mm + aislación 12cm + plancha yesocartón 15mm + terciado 18mm</t>
  </si>
  <si>
    <t>P5</t>
  </si>
  <si>
    <t>Cerámica + sobrelosa concreto 3cm + Losa hormigón armado 10cm + polietileno + CLT 17cm</t>
  </si>
  <si>
    <t>E. Tamango</t>
  </si>
  <si>
    <t>P5.  Cerámica + sobrelosa concreto 3cm + Losa hormigón armado 10cm + polietileno + CLT 17cm</t>
  </si>
  <si>
    <t>P6</t>
  </si>
  <si>
    <t>Losa hormigón armado 15cm + Ripio 50mm</t>
  </si>
  <si>
    <t>P6.  Losa hormigón armado 15cm + Ripio 50mm</t>
  </si>
  <si>
    <t>P7</t>
  </si>
  <si>
    <t>Cerámica + Losa hormigón armado 10cm + polietileno + Ripio 50mm</t>
  </si>
  <si>
    <t>P7.  Cerámica + Losa hormigón armado 10cm + polietileno + Ripio 50mm</t>
  </si>
  <si>
    <t>P8</t>
  </si>
  <si>
    <t>Losa Hormigón Armado 12cm + aislación térmica 80mm + polietileno</t>
  </si>
  <si>
    <t>1.3. M. A4.4</t>
  </si>
  <si>
    <t>P8.  Losa Hormigón Armado 12cm + aislación térmica 80mm + polietileno</t>
  </si>
  <si>
    <t xml:space="preserve">Cielos y cubiertas.  </t>
  </si>
  <si>
    <t>Cielos y cubiertas</t>
  </si>
  <si>
    <t>kJ/m2K</t>
  </si>
  <si>
    <t>PAQUETE CIELOS Y CUBIERTAS</t>
  </si>
  <si>
    <t>C1</t>
  </si>
  <si>
    <t>Plancha Yeso Cartón de 10 mm en listoneado de madera 2x2" + estructura cerchas y costaneras de madera + cámara de aire entre plancha de cielo y aislante 50mm + Aislación Poliestireno Expandido sobre listoneado 117mm + cámara de aire variable semi ventilada + barrera de humedad + terminación plancha de fibrocemento 4mm</t>
  </si>
  <si>
    <t>LSC (1.1.M.A1.2)</t>
  </si>
  <si>
    <t>C2</t>
  </si>
  <si>
    <t>Panel TECHOLISTO, Plancha yesocartón 10mm + plancha de acero 0,5mm +  poliestireno expandido 120mm + plancha acero 0,5 mm prepintada con 5 μ de primer y 20 μ de pintura de terminación.</t>
  </si>
  <si>
    <t>LSC (1.1.M.C3.2)</t>
  </si>
  <si>
    <t>C2.  Panel TECHOLISTO, Plancha yesocartón 10mm + plancha de acero 0,5mm +  poliestireno expandido 120mm + plancha acero 0,5 mm prepintada con 5 μ de primer y 20 μ de pintura de terminación.</t>
  </si>
  <si>
    <t>C3</t>
  </si>
  <si>
    <t>Plancha yesocartón 10mm + Aislación Poliestireno Expandido 100mm con perfiles metálicos incorporados + Malla de acero electrosoldada + Losa de hormigón espesor promedio 65mm + Sobrelosa de hormigón liviano 30mm</t>
  </si>
  <si>
    <t>LSC (1.3.M.A1)</t>
  </si>
  <si>
    <t>C4</t>
  </si>
  <si>
    <t>Losa de Hormigón Armado 100mm + Plancha Poliestireno Expandido 110mm + Sobrelosa Hormigón Liviano 30mm</t>
  </si>
  <si>
    <t>LSC (1.3.M.A4.1)</t>
  </si>
  <si>
    <t>C4.  Losa de Hormigón Armado 100mm + Plancha Poliestireno Expandido 110mm + Sobrelosa Hormigón Liviano 30mm</t>
  </si>
  <si>
    <t>C5</t>
  </si>
  <si>
    <t>Plancha yesocartón 10mm + Aislación Poliestireno Expandido 100mm + Losa de Hormigón Armado 100mm + Sobrelosa Hormigón Liviano 30mm</t>
  </si>
  <si>
    <t>Solución común</t>
  </si>
  <si>
    <t>C5.  Plancha yesocartón 10mm + Aislación Poliestireno Expandido 100mm + Losa de Hormigón Armado 100mm + Sobrelosa Hormigón Liviano 30mm</t>
  </si>
  <si>
    <t>C6</t>
  </si>
  <si>
    <t>Plancha yesocartón 10mm + Losa de Hormigón Armado 100mm + Porcelanato 10mm</t>
  </si>
  <si>
    <t>C6.  Plancha yesocartón 10mm + Losa de Hormigón Armado 100mm + Porcelanato 10mm</t>
  </si>
  <si>
    <t>C7</t>
  </si>
  <si>
    <t>Terciado 18mm + plancha yesocartón 15mm + aislación 12cm + terciado 18mm + sobrelosa concreto 8cm + lámina de corcho + cerámicas</t>
  </si>
  <si>
    <t>C7.  Terciado 18mm + plancha yesocartón 15mm + aislación 12cm + terciado 18mm + sobrelosa concreto 8cm + lámina de corcho + cerámicas</t>
  </si>
  <si>
    <t xml:space="preserve">Muros.  </t>
  </si>
  <si>
    <t>Muros</t>
  </si>
  <si>
    <t>PAQUETES MUROS</t>
  </si>
  <si>
    <t>M1</t>
  </si>
  <si>
    <t>Yesocartón 10mm + Albañilería 24cm + Aislación térmica 14cm + Cámara de aire 4cm con estructura de aluminio + Revestimiento de fachada</t>
  </si>
  <si>
    <t>M1.  Yesocartón 10mm + Albañilería 24cm + Aislación térmica 14cm + Cámara de aire 4cm con estructura de aluminio + Revestimiento de fachada</t>
  </si>
  <si>
    <t>M2</t>
  </si>
  <si>
    <t>OSB 15mm + Lana mineral 160mm + OSB 15mm + cámara de aire ventilada + Terminación exterior tipo siding</t>
  </si>
  <si>
    <t>M3</t>
  </si>
  <si>
    <t>Yesocartón + Ladrillos sólidos + cemento + mortero adhesivo y de refuerzo + aislante tablero de fibra de madera</t>
  </si>
  <si>
    <t>M3.  Yesocartón + Ladrillos sólidos + cemento + mortero adhesivo y de refuerzo + aislante tablero de fibra de madera</t>
  </si>
  <si>
    <t>M4</t>
  </si>
  <si>
    <t>Plancha yesocartón 10mm + Concreto hormigón 240mm + Estructura de madera con aislante de 100mm entre pies derechos + Membrana de vapor + cámara de aire + terminación tipo siding</t>
  </si>
  <si>
    <t>M4.  Plancha yesocartón 10mm + Concreto hormigón 240mm + Estructura de madera con aislante de 100mm entre pies derechos + Membrana de vapor + cámara de aire + terminación tipo siding</t>
  </si>
  <si>
    <t>M5</t>
  </si>
  <si>
    <t>Hormigón Armado 200mm + Aislante Poliestireno Expandido 80mm</t>
  </si>
  <si>
    <t>LSC (1.2.G.A6)</t>
  </si>
  <si>
    <t>M6</t>
  </si>
  <si>
    <t>Mortero de cemento 20mm + Ladrillo hecho a máquina 143mm + Mortero de cemento 20mm</t>
  </si>
  <si>
    <t>LSC (1.2.G.B.A1.3)</t>
  </si>
  <si>
    <t>M7</t>
  </si>
  <si>
    <t>Plancha de yesocartón 10mm + Aislante Poliestireno Expandido 30mm + Ladrillo hecho a máquina 143mm + mortero de cemento 20mm</t>
  </si>
  <si>
    <t>LSC (1.2.G.B.A1.9)</t>
  </si>
  <si>
    <t>M7.  Plancha de yesocartón 10mm + Aislante Poliestireno Expandido 30mm + Ladrillo hecho a máquina 143mm + mortero de cemento 20mm</t>
  </si>
  <si>
    <t>M8</t>
  </si>
  <si>
    <t>Mortero de cemento 20mm + Ladrillo hecho a máquina 143mm + Aislante Poliestireno Expandido 30mm + Plancha tesocartón 10mm</t>
  </si>
  <si>
    <t>M8.  Mortero de cemento 20mm + Ladrillo hecho a máquina 143mm + Aislante Poliestireno Expandido 30mm + Plancha tesocartón 10mm</t>
  </si>
  <si>
    <t>M9</t>
  </si>
  <si>
    <t>Plancha yesocartón 10mm + OSB 18mm + Aislación Poliestireno Expandido 120mm + Plancha yesocartón 10mm + Placa terciado madera pino 15mm + barrera de humedad + cámara ventilada 40mm + tinglado tabla termo tratada 18mm</t>
  </si>
  <si>
    <t>Burgos</t>
  </si>
  <si>
    <t>M9.  Plancha yesocartón 10mm + OSB 18mm + Aislación Poliestireno Expandido 120mm + Plancha yesocartón 10mm + Placa terciado madera pino 15mm + barrera de humedad + cámara ventilada 40mm + tinglado tabla termo tratada 18mm</t>
  </si>
  <si>
    <t>M10</t>
  </si>
  <si>
    <t>Capa estuco de mortero o enlucido de yeso 16mm + Aislación Poliestireno Expandido 60mm + barrera de humedad + Concreto hormigón 150mm</t>
  </si>
  <si>
    <t>M10.  Capa estuco de mortero o enlucido de yeso 16mm + Aislación Poliestireno Expandido 60mm + barrera de humedad + Concreto hormigón 150mm</t>
  </si>
  <si>
    <t>M11</t>
  </si>
  <si>
    <t>Plancha yesocartón 10mm + Terciado madera estructural 11,1mm + Aislante Lana de Vidrio 120mm con estructura pies derechos de madera + Plancha yesocartón 10mm + membrana hidrófuga + distanciadores horizontales madera pino + revestimiento metálico</t>
  </si>
  <si>
    <t>Tamango</t>
  </si>
  <si>
    <t>M11.  Plancha yesocartón 10mm + Terciado madera estructural 11,1mm + Aislante Lana de Vidrio 120mm con estructura pies derechos de madera + Plancha yesocartón 10mm + membrana hidrófuga + distanciadores horizontales madera pino + revestimiento metálico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</si>
  <si>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</si>
  <si>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</si>
  <si>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</si>
  <si>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</si>
  <si>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</si>
  <si>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</si>
  <si>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</si>
  <si>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</si>
  <si>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</si>
  <si>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</si>
  <si>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</si>
  <si>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</si>
  <si>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</si>
  <si>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Zona climática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</si>
  <si>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</si>
  <si>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</si>
  <si>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</si>
  <si>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</si>
  <si>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</si>
  <si>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</si>
  <si>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</si>
  <si>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</si>
  <si>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</si>
  <si>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</si>
  <si>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</si>
  <si>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</si>
  <si>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</si>
  <si>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</si>
  <si>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</si>
  <si>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</si>
  <si>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</si>
  <si>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</si>
  <si>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</si>
  <si>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</si>
  <si>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</si>
  <si>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</si>
  <si>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</si>
  <si>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</si>
  <si>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</si>
  <si>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</si>
  <si>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</si>
  <si>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</si>
  <si>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</si>
  <si>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</si>
  <si>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</si>
  <si>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</si>
  <si>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</si>
  <si>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</si>
  <si>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</si>
  <si>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</si>
  <si>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</si>
  <si>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</si>
  <si>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</si>
  <si>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</si>
  <si>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</si>
  <si>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</si>
  <si>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</si>
  <si>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</si>
  <si>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</si>
  <si>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</si>
  <si>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</si>
  <si>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</si>
  <si>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</si>
  <si>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</si>
  <si>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País</t>
  </si>
  <si>
    <t>CH_Electricidad</t>
  </si>
  <si>
    <t>Chile</t>
  </si>
  <si>
    <t>https://www.coordinador.cl/renova/renova-documentos/</t>
  </si>
  <si>
    <t xml:space="preserve">MEX_Electricidad </t>
  </si>
  <si>
    <t>México</t>
  </si>
  <si>
    <t>Gas licuado (GLP)</t>
  </si>
  <si>
    <t>IPCC 2006</t>
  </si>
  <si>
    <t>Gas natural (GN)</t>
  </si>
  <si>
    <t>Pellet</t>
  </si>
  <si>
    <t>IPCC 2006 (descuenta CO2 para evitar doble conteo)</t>
  </si>
  <si>
    <t>ERNC (electricidad)</t>
  </si>
  <si>
    <t>Energético</t>
  </si>
  <si>
    <t>Tipo.Energético.Personal</t>
  </si>
  <si>
    <t>Opciones</t>
  </si>
  <si>
    <t>Grupos de elementos</t>
  </si>
  <si>
    <r>
      <t xml:space="preserve">Subestructura </t>
    </r>
    <r>
      <rPr>
        <i/>
        <sz val="8"/>
        <color theme="1"/>
        <rFont val="Arial"/>
        <family val="2"/>
      </rPr>
      <t>(Fundaciones, cimientos, sobrecimientos, aislación barrera de humedad. Todo lo referido a materiales bajo el nivel de terreno)</t>
    </r>
  </si>
  <si>
    <t>Cimientos</t>
  </si>
  <si>
    <t>Poliestireno expandido</t>
  </si>
  <si>
    <t>EPDIE-18-16</t>
  </si>
  <si>
    <r>
      <t>Superestructura (</t>
    </r>
    <r>
      <rPr>
        <i/>
        <sz val="8"/>
        <color theme="1"/>
        <rFont val="Arial"/>
        <family val="2"/>
      </rPr>
      <t>Marcos, losas de entrepiso, techumbre, escaleras, rampas, muros exteriores, ventanas y puertas exteriores)</t>
    </r>
  </si>
  <si>
    <t>Sobrecimientos</t>
  </si>
  <si>
    <t>EIFS muros</t>
  </si>
  <si>
    <r>
      <t xml:space="preserve">MEP </t>
    </r>
    <r>
      <rPr>
        <i/>
        <sz val="10"/>
        <color theme="1"/>
        <rFont val="Arial"/>
        <family val="2"/>
      </rPr>
      <t>(Sistemas mecánicos de acondicionamiento, Sist, eléctricos, fontanería)</t>
    </r>
  </si>
  <si>
    <t>Aislamiento</t>
  </si>
  <si>
    <t>Lana de vidrio 160mm</t>
  </si>
  <si>
    <t>Barrera de Humedad</t>
  </si>
  <si>
    <t>_Lana de vidrio_Aislanglass (50 mm)</t>
  </si>
  <si>
    <t>S-P-05623</t>
  </si>
  <si>
    <t>Pilares / vigas</t>
  </si>
  <si>
    <t>Lana de vidrio 50mm</t>
  </si>
  <si>
    <t>S-P-05626</t>
  </si>
  <si>
    <t>Losas / piso</t>
  </si>
  <si>
    <t>Relleno</t>
  </si>
  <si>
    <t>m3</t>
  </si>
  <si>
    <t>Estructura metalcón</t>
  </si>
  <si>
    <t>S-P-05012</t>
  </si>
  <si>
    <t>Muros envolvente</t>
  </si>
  <si>
    <t>Plancha volcanita 15mm</t>
  </si>
  <si>
    <t>S-P-05624</t>
  </si>
  <si>
    <t>Escaleras / rampas</t>
  </si>
  <si>
    <t>Plancha volcanita 10mm</t>
  </si>
  <si>
    <t>Ventanas /puertas</t>
  </si>
  <si>
    <t>Ventanas PVC</t>
  </si>
  <si>
    <t>MEP (Equipamiento)</t>
  </si>
  <si>
    <t xml:space="preserve">_Vidrios Plano 4 mm </t>
  </si>
  <si>
    <t>S-P-06326</t>
  </si>
  <si>
    <t>_Marcos PVC</t>
  </si>
  <si>
    <t>kg</t>
  </si>
  <si>
    <t>S-P-02003</t>
  </si>
  <si>
    <t>Puertas madera</t>
  </si>
  <si>
    <t>Impermeabilizante (membrana PVC)</t>
  </si>
  <si>
    <t>Pino radiata</t>
  </si>
  <si>
    <t>Madera CLT</t>
  </si>
  <si>
    <t>S-P-07432</t>
  </si>
  <si>
    <t>Plancha aluminio</t>
  </si>
  <si>
    <t>Plancha de madera terciada_CMPC</t>
  </si>
  <si>
    <t>S-P-02010</t>
  </si>
  <si>
    <t>Plancha de fibrocemento Siding</t>
  </si>
  <si>
    <t>S-P-05622</t>
  </si>
  <si>
    <t>Plancha de fibrocemento Tabique</t>
  </si>
  <si>
    <t>Plancha de OSB</t>
  </si>
  <si>
    <t>S-P-01850</t>
  </si>
  <si>
    <t>Placa MDF (fibra de madera)</t>
  </si>
  <si>
    <t>Poliuretano expandido</t>
  </si>
  <si>
    <t>Poliuretano proyectado</t>
  </si>
  <si>
    <t>Paneles sándwich metálicos aislantes para paredes, techos y cubiertas</t>
  </si>
  <si>
    <t>S-P-01233</t>
  </si>
  <si>
    <t>Ladrillo</t>
  </si>
  <si>
    <t>ton</t>
  </si>
  <si>
    <t>_Ladrillo con perforaciones</t>
  </si>
  <si>
    <t>MD-21057-EN</t>
  </si>
  <si>
    <t>Barras de refuerzo acero</t>
  </si>
  <si>
    <t>_Barra de refuerzo de acero_CAP Acero</t>
  </si>
  <si>
    <t>S-P-02002</t>
  </si>
  <si>
    <t>Perfiles de acero laminado</t>
  </si>
  <si>
    <t>Hormigón celular</t>
  </si>
  <si>
    <t>T1</t>
  </si>
  <si>
    <t>Concreto Ready Mix Mpa 35</t>
  </si>
  <si>
    <t>Tipo</t>
  </si>
  <si>
    <t>Eficiencia</t>
  </si>
  <si>
    <t>Hormigón G25</t>
  </si>
  <si>
    <t>S-P-01722</t>
  </si>
  <si>
    <t>Calefactor individual de leña</t>
  </si>
  <si>
    <t>Polietileno</t>
  </si>
  <si>
    <t>S-P-02989</t>
  </si>
  <si>
    <t>Calefacción individual de pellet</t>
  </si>
  <si>
    <t>Plancha de acero</t>
  </si>
  <si>
    <t>EPDIE-21-45</t>
  </si>
  <si>
    <t>Caldera central de leña</t>
  </si>
  <si>
    <t>Cerámicas piso y muros</t>
  </si>
  <si>
    <t>EPD10197</t>
  </si>
  <si>
    <t>Caldera central de Pellet</t>
  </si>
  <si>
    <t>Caldera a gas</t>
  </si>
  <si>
    <t>SCGA-00118-V01.01-FR, 33140</t>
  </si>
  <si>
    <t>.</t>
  </si>
  <si>
    <t>Bomba de calor aire-agua</t>
  </si>
  <si>
    <t>Pintura interior</t>
  </si>
  <si>
    <t>S-P-05758</t>
  </si>
  <si>
    <t>Bomba de calor agua-agua</t>
  </si>
  <si>
    <t>Piso laminado</t>
  </si>
  <si>
    <t>S-P-09368</t>
  </si>
  <si>
    <t>Bomba de calor terreno-agua</t>
  </si>
  <si>
    <t>Cocina a leña</t>
  </si>
  <si>
    <t>Cocina a gas</t>
  </si>
  <si>
    <t>Cocina eléctrica</t>
  </si>
  <si>
    <t>T2 Mapa radiación solar</t>
  </si>
  <si>
    <t>KWh/KWp * año</t>
  </si>
  <si>
    <t>GLP</t>
  </si>
  <si>
    <t>conama___gui__a_para_la_estimacio__n_de_emisiones___retc__.pdf (thermal.cl)</t>
  </si>
  <si>
    <t>KgCO2eq/Kg</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</si>
  <si>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</si>
  <si>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</si>
  <si>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</si>
  <si>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</si>
  <si>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</si>
  <si>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</si>
  <si>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</si>
  <si>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</si>
  <si>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</si>
  <si>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</si>
  <si>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</si>
  <si>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</si>
  <si>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</si>
  <si>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</si>
  <si>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</si>
  <si>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</si>
  <si>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</si>
  <si>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</si>
  <si>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</si>
  <si>
    <t>Material.Biblioteca.Minergie</t>
  </si>
  <si>
    <t>Comentario</t>
  </si>
  <si>
    <t>Barra de refuerzo de acero_CAP Acero</t>
  </si>
  <si>
    <t xml:space="preserve">Arena </t>
  </si>
  <si>
    <t>S-P-06948</t>
  </si>
  <si>
    <t>Colombia</t>
  </si>
  <si>
    <t>Relleno Triturada 3/8"</t>
  </si>
  <si>
    <t>Relleno Triturada 1"</t>
  </si>
  <si>
    <t>Grava 1,45 ton/m3</t>
  </si>
  <si>
    <t>EPD-ND-CS_001</t>
  </si>
  <si>
    <t>Italia</t>
  </si>
  <si>
    <t>Ready-Mix Concrete G025 (Hormigón)</t>
  </si>
  <si>
    <t>Estructura metalcon</t>
  </si>
  <si>
    <t>Argentina</t>
  </si>
  <si>
    <t>S-P-00691</t>
  </si>
  <si>
    <t>Poliestireno expandido 100mm</t>
  </si>
  <si>
    <t>Irlanda</t>
  </si>
  <si>
    <t>Lana de vidrio_Aislanglass (50 mm)</t>
  </si>
  <si>
    <t>Plancha de fibrocemento Siding 6mm</t>
  </si>
  <si>
    <t>Plancha de fibrocemento Base cerámica 6mm</t>
  </si>
  <si>
    <t>Plancha de madera terciada_CMPC 6,5-25mm</t>
  </si>
  <si>
    <t>Plancha de OSB 9,5mm</t>
  </si>
  <si>
    <t>4788424634.101.1</t>
  </si>
  <si>
    <t>01-072025</t>
  </si>
  <si>
    <t>USA/Canada</t>
  </si>
  <si>
    <t>Placa MDF (fibra de madera) 3-25mm</t>
  </si>
  <si>
    <t>EPDIE-22-97</t>
  </si>
  <si>
    <t>Madera Laminada Pino Radiata 50mm</t>
  </si>
  <si>
    <t>4788424634.104.1</t>
  </si>
  <si>
    <t>Madera cepillada pino radiata</t>
  </si>
  <si>
    <t>S-P-08617</t>
  </si>
  <si>
    <t>Suecia</t>
  </si>
  <si>
    <t>Australia</t>
  </si>
  <si>
    <t>Panel sandwich con aislante poliuretano expandido_40 mm</t>
  </si>
  <si>
    <t>S-P-003362</t>
  </si>
  <si>
    <t>Global</t>
  </si>
  <si>
    <t>Panel sandwich con aislante poliuretano expandido_60 mm</t>
  </si>
  <si>
    <t>Panel sandwich con aislante poliuretano expandido_80 mm</t>
  </si>
  <si>
    <t>Ladrillo con perforaciones</t>
  </si>
  <si>
    <t>Dinamarca</t>
  </si>
  <si>
    <t>Plancha acero zincalume</t>
  </si>
  <si>
    <t>S-P-08456</t>
  </si>
  <si>
    <t>Perfil de acero (espesor 3 a 40 mm / largo 6 a 12 m)</t>
  </si>
  <si>
    <t>S-P-08495</t>
  </si>
  <si>
    <t>España</t>
  </si>
  <si>
    <t>NEPD-1535-525-EN</t>
  </si>
  <si>
    <t xml:space="preserve">Vidrios Plano 4 mm </t>
  </si>
  <si>
    <t>Marcos PVC</t>
  </si>
  <si>
    <t>Ventana marco PVC y DVH</t>
  </si>
  <si>
    <t>S-P-06115</t>
  </si>
  <si>
    <t>Radiador secatoallas con agua caliente 844W</t>
  </si>
  <si>
    <t>kw</t>
  </si>
  <si>
    <t>SCGA-00081-V01.01-FR</t>
  </si>
  <si>
    <t>Radiador secatoallas con aguacaliente 844W (unidad)</t>
  </si>
  <si>
    <t>Radiador con agua caliente 1,019kw</t>
  </si>
  <si>
    <t>CHAP-00002-V01.01-FR</t>
  </si>
  <si>
    <t>Radiador con agua caliente 1,019kw (unidad)</t>
  </si>
  <si>
    <t>Acumulador ACS 200 lts</t>
  </si>
  <si>
    <t>SCGA-00091-V01.01-FR</t>
  </si>
  <si>
    <t>Caldera ACS a gas 16kw</t>
  </si>
  <si>
    <t>CHAP-00011-V01.02-EN</t>
  </si>
  <si>
    <t>Caldera ACS a gas 16kw (unidad)</t>
  </si>
  <si>
    <t>Pintura interior al agua baja en COV</t>
  </si>
  <si>
    <t>Piso laminado 12mm</t>
  </si>
  <si>
    <t>Europa</t>
  </si>
  <si>
    <t>Celulosa proyectada</t>
  </si>
  <si>
    <t>EPDIE-20-24</t>
  </si>
  <si>
    <t>Bomba de calor aire-agua frío o calor 4,89kw</t>
  </si>
  <si>
    <t>ALDE-00011-V01.01-FR</t>
  </si>
  <si>
    <t>Bomba de calor aire-agua frío o calor 4,89kw (unidad)</t>
  </si>
  <si>
    <t>Calentador eléctrico de ACS</t>
  </si>
  <si>
    <t>HITA-00001-V01.01-FR</t>
  </si>
  <si>
    <t>Refrigerante R32 ok</t>
  </si>
  <si>
    <t>Panel fotovoltaico 423Wp</t>
  </si>
  <si>
    <t>VSOL-00004-V01.01-FR</t>
  </si>
  <si>
    <t>Fancoil (potencia de calor 0,8-17KW y de frío 0,6-12KW)</t>
  </si>
  <si>
    <t>CARR-10006-V02.01-FR</t>
  </si>
  <si>
    <t>Para 2 ductos o 4 ductos (refrigeracion y calefacción)</t>
  </si>
  <si>
    <t>Extractor / Ventilador (independiente) caudal 42m3/h</t>
  </si>
  <si>
    <t>UNIC-00031-V01.01-FR</t>
  </si>
  <si>
    <t>Francia (INIES)</t>
  </si>
  <si>
    <t>Unidad = 41,64 m3/h</t>
  </si>
  <si>
    <t>Ascensor (5 pisos)</t>
  </si>
  <si>
    <t>RTS_66_20</t>
  </si>
  <si>
    <t>Finlandia</t>
  </si>
  <si>
    <t>Caldera biomasa 8kw</t>
  </si>
  <si>
    <t>FLVE-00003-V01.02-FR</t>
  </si>
  <si>
    <t>Caldera biomasa 8kw (unidad)</t>
  </si>
  <si>
    <t>Biblioteca Minergie</t>
  </si>
  <si>
    <t>balblabla</t>
  </si>
  <si>
    <t>&gt;28 dB(A)</t>
  </si>
  <si>
    <t>Ponderación entre elementos opacos descontando puertas y ventanas.</t>
  </si>
  <si>
    <t>requisitos a 1 bar de presión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</si>
</sst>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 #,##0_ ;_ * \-#,##0_ ;_ * &quot;-&quot;_ ;_ @_ "/>
    <numFmt numFmtId="164" formatCode="0.0"/>
    <numFmt numFmtId="165" formatCode="0.000"/>
    <numFmt numFmtId="166" formatCode="_ * #,##0.00_ ;_ * \-#,##0.00_ ;_ * &quot;-&quot;_ ;_ @_ "/>
    <numFmt numFmtId="167" formatCode="0\ \°"/>
    <numFmt numFmtId="168" formatCode="0.00\ &quot;m2&quot;"/>
    <numFmt numFmtId="169" formatCode="General\ &quot;dB(A)&quot;"/>
    <numFmt numFmtId="170" formatCode="0.0\ &quot;dB(A)&quot;"/>
    <numFmt numFmtId="171" formatCode="_ * #,##0.000_ ;_ * \-#,##0.000_ ;_ * &quot;-&quot;_ ;_ @_ "/>
  </numFmts>
  <fonts count="76" x14ac:knownFonts="1">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vertAlign val="superscript"/>
      <sz val="10"/>
      <color theme="1"/>
      <name val="Arial"/>
      <family val="2"/>
    </font>
    <font>
      <b/>
      <sz val="11"/>
      <name val="Arial"/>
      <family val="2"/>
    </font>
    <font>
      <b/>
      <sz val="11"/>
      <color theme="0"/>
      <name val="Arial"/>
      <family val="2"/>
    </font>
    <font>
      <sz val="10"/>
      <color theme="1"/>
      <name val="Arial Nova Light"/>
      <family val="2"/>
    </font>
    <font>
      <b/>
      <sz val="12"/>
      <color theme="1"/>
      <name val="Arial Nova Light"/>
      <family val="2"/>
    </font>
    <font>
      <b/>
      <sz val="11"/>
      <color theme="1"/>
      <name val="Arial Nova Light"/>
      <family val="2"/>
    </font>
    <font>
      <sz val="10"/>
      <name val="Arial Nova Light"/>
      <family val="2"/>
    </font>
    <font>
      <b/>
      <sz val="10"/>
      <color rgb="FFFF0000"/>
      <name val="Arial Nova Light"/>
      <family val="2"/>
    </font>
    <font>
      <b/>
      <sz val="11"/>
      <name val="Arial Nova Light"/>
      <family val="2"/>
    </font>
    <font>
      <sz val="10"/>
      <color theme="8"/>
      <name val="Arial"/>
      <family val="2"/>
    </font>
    <font>
      <b/>
      <sz val="10"/>
      <name val="Arial Nova Light"/>
      <family val="2"/>
    </font>
    <font>
      <sz val="11"/>
      <name val="Arial Nova Light"/>
      <family val="2"/>
    </font>
    <font>
      <sz val="9"/>
      <name val="Arial Nova Light"/>
      <family val="2"/>
    </font>
    <font>
      <sz val="10"/>
      <color rgb="FF000000"/>
      <name val="Times New Roman"/>
      <family val="1"/>
    </font>
    <font>
      <sz val="8.5"/>
      <name val="Calibri"/>
      <family val="2"/>
    </font>
    <font>
      <sz val="8.5"/>
      <name val="Calibri"/>
      <family val="1"/>
    </font>
    <font>
      <b/>
      <sz val="8.5"/>
      <name val="Calibri"/>
      <family val="2"/>
    </font>
    <font>
      <b/>
      <sz val="8.5"/>
      <name val="Calibri"/>
      <family val="1"/>
    </font>
    <font>
      <sz val="8.5"/>
      <color rgb="FF000000"/>
      <name val="Calibri"/>
      <family val="2"/>
    </font>
    <font>
      <sz val="7"/>
      <name val="Calibri"/>
      <family val="2"/>
    </font>
    <font>
      <i/>
      <sz val="8"/>
      <name val="Calibri Light"/>
      <family val="2"/>
    </font>
    <font>
      <i/>
      <sz val="8"/>
      <name val="Calibri Light"/>
      <family val="1"/>
    </font>
    <font>
      <b/>
      <sz val="8"/>
      <name val="Calibri"/>
      <family val="2"/>
    </font>
    <font>
      <b/>
      <sz val="8"/>
      <color rgb="FFFFFFFF"/>
      <name val="Calibri"/>
      <family val="1"/>
    </font>
    <font>
      <b/>
      <sz val="8"/>
      <name val="Calibri"/>
      <family val="1"/>
    </font>
    <font>
      <sz val="8"/>
      <color rgb="FF000000"/>
      <name val="Calibri"/>
      <family val="2"/>
    </font>
    <font>
      <sz val="8"/>
      <name val="Calibri"/>
      <family val="2"/>
    </font>
    <font>
      <sz val="8"/>
      <name val="Calibri"/>
      <family val="1"/>
    </font>
    <font>
      <sz val="10"/>
      <color rgb="FF000000"/>
      <name val="Arial"/>
      <family val="2"/>
    </font>
    <font>
      <b/>
      <sz val="11"/>
      <color rgb="FFFF0000"/>
      <name val="Arial Nova Light"/>
      <family val="2"/>
    </font>
    <font>
      <b/>
      <sz val="9"/>
      <name val="Arial"/>
      <family val="2"/>
    </font>
    <font>
      <b/>
      <sz val="8"/>
      <name val="Arial"/>
      <family val="2"/>
    </font>
    <font>
      <i/>
      <sz val="10"/>
      <color theme="1"/>
      <name val="Arial"/>
      <family val="2"/>
    </font>
    <font>
      <b/>
      <u/>
      <sz val="10"/>
      <name val="Arial"/>
      <family val="2"/>
    </font>
    <font>
      <sz val="10"/>
      <color theme="4"/>
      <name val="Arial"/>
      <family val="2"/>
    </font>
    <font>
      <u/>
      <sz val="11"/>
      <color theme="0"/>
      <name val="Arial"/>
      <family val="2"/>
    </font>
    <font>
      <sz val="10"/>
      <color theme="0" tint="-4.9989318521683403E-2"/>
      <name val="Arial"/>
      <family val="2"/>
    </font>
    <font>
      <b/>
      <sz val="14"/>
      <color theme="1"/>
      <name val="Calibri"/>
      <family val="2"/>
      <scheme val="minor"/>
    </font>
    <font>
      <b/>
      <sz val="11"/>
      <color theme="1"/>
      <name val="Calibri"/>
      <family val="2"/>
      <scheme val="minor"/>
    </font>
    <font>
      <vertAlign val="superscript"/>
      <sz val="11"/>
      <color theme="1"/>
      <name val="Calibri"/>
      <family val="2"/>
      <scheme val="minor"/>
    </font>
    <font>
      <b/>
      <sz val="9"/>
      <color indexed="81"/>
      <name val="Tahoma"/>
      <family val="2"/>
    </font>
    <font>
      <b/>
      <sz val="9"/>
      <color theme="1"/>
      <name val="Arial"/>
      <family val="2"/>
    </font>
    <font>
      <sz val="9"/>
      <color theme="0"/>
      <name val="Arial"/>
      <family val="2"/>
    </font>
    <font>
      <u/>
      <sz val="10"/>
      <color theme="4"/>
      <name val="Arial"/>
      <family val="2"/>
    </font>
    <font>
      <u/>
      <sz val="10"/>
      <color theme="1"/>
      <name val="Arial"/>
      <family val="2"/>
    </font>
    <font>
      <i/>
      <sz val="10"/>
      <color theme="0"/>
      <name val="Arial"/>
      <family val="2"/>
    </font>
    <font>
      <b/>
      <i/>
      <sz val="10"/>
      <color rgb="FFFF0000"/>
      <name val="Arial"/>
      <family val="2"/>
    </font>
    <font>
      <sz val="9"/>
      <color theme="1"/>
      <name val="Arial"/>
      <family val="2"/>
    </font>
    <font>
      <sz val="9"/>
      <name val="Arial"/>
      <family val="2"/>
    </font>
    <font>
      <b/>
      <sz val="11"/>
      <color theme="1"/>
      <name val="Arial"/>
      <family val="2"/>
    </font>
    <font>
      <b/>
      <u/>
      <sz val="10"/>
      <color theme="0"/>
      <name val="Arial"/>
      <family val="2"/>
    </font>
    <font>
      <u/>
      <sz val="10"/>
      <color theme="0"/>
      <name val="Arial"/>
      <family val="2"/>
    </font>
    <font>
      <b/>
      <u/>
      <sz val="10"/>
      <color theme="1"/>
      <name val="Arial"/>
      <family val="2"/>
    </font>
    <font>
      <sz val="10"/>
      <color theme="0"/>
      <name val="Symbol"/>
      <family val="1"/>
      <charset val="2"/>
    </font>
    <font>
      <sz val="12"/>
      <color theme="0"/>
      <name val="Arial"/>
      <family val="2"/>
    </font>
    <font>
      <sz val="12"/>
      <color theme="0"/>
      <name val="Symbol"/>
      <family val="1"/>
      <charset val="2"/>
    </font>
  </fonts>
  <fills count="31">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E7E6E6"/>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A7A9AC"/>
      </patternFill>
    </fill>
    <fill>
      <patternFill patternType="solid">
        <fgColor rgb="FFD1D3D4"/>
      </patternFill>
    </fill>
    <fill>
      <patternFill patternType="solid">
        <fgColor rgb="FFE6E7E8"/>
      </patternFill>
    </fill>
    <fill>
      <patternFill patternType="solid">
        <fgColor rgb="FF808285"/>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9595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7">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
      <left style="thin">
        <color rgb="FFFF7C80"/>
      </left>
      <right style="thin">
        <color rgb="FFFF7C80"/>
      </right>
      <top/>
      <bottom/>
      <diagonal/>
    </border>
    <border>
      <left/>
      <right/>
      <top/>
      <bottom style="thin">
        <color rgb="FFFF7C80"/>
      </bottom>
      <diagonal/>
    </border>
    <border>
      <left style="thin">
        <color indexed="64"/>
      </left>
      <right style="thin">
        <color indexed="64"/>
      </right>
      <top style="thin">
        <color indexed="64"/>
      </top>
      <bottom style="thin">
        <color indexed="64"/>
      </bottom>
      <diagonal/>
    </border>
    <border>
      <left style="thin">
        <color rgb="FFFF7C80"/>
      </left>
      <right/>
      <top style="thin">
        <color rgb="FFFF7C80"/>
      </top>
      <bottom style="thin">
        <color rgb="FFFF7C80"/>
      </bottom>
      <diagonal/>
    </border>
    <border>
      <left style="thin">
        <color rgb="FFFF7C80"/>
      </left>
      <right style="thin">
        <color rgb="FFFF7C80"/>
      </right>
      <top style="thin">
        <color rgb="FFFF7C80"/>
      </top>
      <bottom style="medium">
        <color theme="5"/>
      </bottom>
      <diagonal/>
    </border>
    <border>
      <left style="medium">
        <color rgb="FFFF7C80"/>
      </left>
      <right/>
      <top/>
      <bottom style="thin">
        <color theme="0"/>
      </bottom>
      <diagonal/>
    </border>
    <border>
      <left/>
      <right/>
      <top/>
      <bottom style="thin">
        <color theme="0"/>
      </bottom>
      <diagonal/>
    </border>
    <border>
      <left style="medium">
        <color rgb="FFFF7C80"/>
      </left>
      <right/>
      <top style="thin">
        <color theme="0"/>
      </top>
      <bottom style="thin">
        <color theme="0"/>
      </bottom>
      <diagonal/>
    </border>
    <border>
      <left/>
      <right/>
      <top style="thin">
        <color theme="0"/>
      </top>
      <bottom style="thin">
        <color theme="0"/>
      </bottom>
      <diagonal/>
    </border>
    <border>
      <left style="medium">
        <color rgb="FFFF7C80"/>
      </left>
      <right style="thin">
        <color rgb="FFFF7C80"/>
      </right>
      <top style="medium">
        <color rgb="FFFF7C80"/>
      </top>
      <bottom/>
      <diagonal/>
    </border>
    <border>
      <left style="thin">
        <color rgb="FFFF7C80"/>
      </left>
      <right/>
      <top style="medium">
        <color rgb="FFFF7C80"/>
      </top>
      <bottom style="thin">
        <color rgb="FFFF7C80"/>
      </bottom>
      <diagonal/>
    </border>
    <border>
      <left/>
      <right style="medium">
        <color rgb="FFFF7C80"/>
      </right>
      <top style="medium">
        <color rgb="FFFF7C80"/>
      </top>
      <bottom style="thin">
        <color rgb="FFFF7C80"/>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diagonal/>
    </border>
    <border>
      <left style="medium">
        <color rgb="FF00B0F0"/>
      </left>
      <right style="thin">
        <color theme="1" tint="0.499984740745262"/>
      </right>
      <top style="medium">
        <color rgb="FF00B0F0"/>
      </top>
      <bottom style="thin">
        <color theme="1" tint="0.499984740745262"/>
      </bottom>
      <diagonal/>
    </border>
    <border>
      <left style="thin">
        <color theme="1" tint="0.499984740745262"/>
      </left>
      <right style="thin">
        <color theme="1" tint="0.499984740745262"/>
      </right>
      <top style="medium">
        <color rgb="FF00B0F0"/>
      </top>
      <bottom style="thin">
        <color theme="1" tint="0.499984740745262"/>
      </bottom>
      <diagonal/>
    </border>
    <border>
      <left style="thin">
        <color theme="1" tint="0.499984740745262"/>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style="thin">
        <color theme="1" tint="0.499984740745262"/>
      </right>
      <top style="thin">
        <color theme="1" tint="0.499984740745262"/>
      </top>
      <bottom style="thin">
        <color theme="1" tint="0.499984740745262"/>
      </bottom>
      <diagonal/>
    </border>
    <border>
      <left/>
      <right style="medium">
        <color rgb="FF00B0F0"/>
      </right>
      <top/>
      <bottom/>
      <diagonal/>
    </border>
    <border>
      <left/>
      <right style="medium">
        <color rgb="FF00B0F0"/>
      </right>
      <top/>
      <bottom style="thin">
        <color theme="1" tint="0.499984740745262"/>
      </bottom>
      <diagonal/>
    </border>
    <border>
      <left style="medium">
        <color rgb="FF00B0F0"/>
      </left>
      <right/>
      <top/>
      <bottom/>
      <diagonal/>
    </border>
    <border>
      <left style="medium">
        <color rgb="FF00B0F0"/>
      </left>
      <right/>
      <top style="thin">
        <color theme="1" tint="0.499984740745262"/>
      </top>
      <bottom style="thin">
        <color theme="1" tint="0.499984740745262"/>
      </bottom>
      <diagonal/>
    </border>
    <border>
      <left style="thin">
        <color theme="1" tint="0.499984740745262"/>
      </left>
      <right style="medium">
        <color rgb="FF00B0F0"/>
      </right>
      <top style="thin">
        <color theme="1" tint="0.499984740745262"/>
      </top>
      <bottom style="thin">
        <color theme="1" tint="0.499984740745262"/>
      </bottom>
      <diagonal/>
    </border>
    <border>
      <left/>
      <right style="medium">
        <color rgb="FF00B0F0"/>
      </right>
      <top style="thin">
        <color theme="1" tint="0.499984740745262"/>
      </top>
      <bottom/>
      <diagonal/>
    </border>
    <border>
      <left style="medium">
        <color rgb="FF00B0F0"/>
      </left>
      <right style="thin">
        <color theme="1" tint="0.499984740745262"/>
      </right>
      <top style="thin">
        <color theme="1" tint="0.499984740745262"/>
      </top>
      <bottom style="medium">
        <color rgb="FF00B0F0"/>
      </bottom>
      <diagonal/>
    </border>
    <border>
      <left style="thin">
        <color theme="1" tint="0.499984740745262"/>
      </left>
      <right style="thin">
        <color theme="1" tint="0.499984740745262"/>
      </right>
      <top style="thin">
        <color theme="1" tint="0.499984740745262"/>
      </top>
      <bottom style="medium">
        <color rgb="FF00B0F0"/>
      </bottom>
      <diagonal/>
    </border>
    <border>
      <left style="thin">
        <color theme="1" tint="0.499984740745262"/>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FF7C80"/>
      </left>
      <right/>
      <top style="thin">
        <color rgb="FFFF7C80"/>
      </top>
      <bottom style="medium">
        <color rgb="FFFF7C80"/>
      </bottom>
      <diagonal/>
    </border>
    <border>
      <left style="thin">
        <color rgb="FFFF7C80"/>
      </left>
      <right style="thin">
        <color rgb="FFFF7C80"/>
      </right>
      <top/>
      <bottom style="medium">
        <color rgb="FFFF7C80"/>
      </bottom>
      <diagonal/>
    </border>
    <border>
      <left style="thin">
        <color rgb="FFFF7C80"/>
      </left>
      <right/>
      <top/>
      <bottom style="medium">
        <color rgb="FFFF7C80"/>
      </bottom>
      <diagonal/>
    </border>
    <border>
      <left style="medium">
        <color rgb="FFFF7C80"/>
      </left>
      <right style="thin">
        <color rgb="FFFF7C80"/>
      </right>
      <top/>
      <bottom style="medium">
        <color rgb="FFFF7C80"/>
      </bottom>
      <diagonal/>
    </border>
    <border>
      <left style="medium">
        <color rgb="FFFF7C80"/>
      </left>
      <right/>
      <top style="medium">
        <color rgb="FFFF7C80"/>
      </top>
      <bottom style="thin">
        <color rgb="FFFF7C80"/>
      </bottom>
      <diagonal/>
    </border>
    <border>
      <left style="thin">
        <color rgb="FFFF7C80"/>
      </left>
      <right style="medium">
        <color rgb="FFFF7C80"/>
      </right>
      <top/>
      <bottom style="medium">
        <color rgb="FFFF7C80"/>
      </bottom>
      <diagonal/>
    </border>
    <border>
      <left style="medium">
        <color rgb="FFFF7C80"/>
      </left>
      <right style="thin">
        <color rgb="FFFF7C80"/>
      </right>
      <top style="thin">
        <color rgb="FFFF7C80"/>
      </top>
      <bottom/>
      <diagonal/>
    </border>
    <border>
      <left style="thin">
        <color rgb="FFFF7C80"/>
      </left>
      <right style="medium">
        <color rgb="FFFF7C80"/>
      </right>
      <top style="thin">
        <color rgb="FFFF7C80"/>
      </top>
      <bottom/>
      <diagonal/>
    </border>
    <border>
      <left/>
      <right style="thin">
        <color rgb="FFFF7C80"/>
      </right>
      <top style="medium">
        <color rgb="FFFF7C80"/>
      </top>
      <bottom/>
      <diagonal/>
    </border>
    <border>
      <left/>
      <right/>
      <top style="medium">
        <color rgb="FFFF7C80"/>
      </top>
      <bottom style="thin">
        <color rgb="FFFF7C80"/>
      </bottom>
      <diagonal/>
    </border>
    <border>
      <left style="thin">
        <color rgb="FFFF7C80"/>
      </left>
      <right style="medium">
        <color rgb="FFFF7C80"/>
      </right>
      <top/>
      <bottom/>
      <diagonal/>
    </border>
    <border>
      <left/>
      <right style="thick">
        <color rgb="FFFF7C80"/>
      </right>
      <top style="thick">
        <color rgb="FFFF7C80"/>
      </top>
      <bottom style="thick">
        <color rgb="FFFF7C80"/>
      </bottom>
      <diagonal/>
    </border>
    <border>
      <left style="thick">
        <color rgb="FFFF7C80"/>
      </left>
      <right/>
      <top style="medium">
        <color rgb="FFFF7C80"/>
      </top>
      <bottom style="medium">
        <color rgb="FFFF7C80"/>
      </bottom>
      <diagonal/>
    </border>
    <border>
      <left style="medium">
        <color rgb="FFFF7C80"/>
      </left>
      <right style="thin">
        <color indexed="64"/>
      </right>
      <top style="thin">
        <color indexed="64"/>
      </top>
      <bottom style="thin">
        <color indexed="64"/>
      </bottom>
      <diagonal/>
    </border>
    <border>
      <left/>
      <right/>
      <top/>
      <bottom style="thin">
        <color indexed="64"/>
      </bottom>
      <diagonal/>
    </border>
    <border>
      <left style="medium">
        <color rgb="FFFF7C8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FF7C8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FF7C80"/>
      </left>
      <right style="thin">
        <color indexed="64"/>
      </right>
      <top style="thin">
        <color indexed="64"/>
      </top>
      <bottom style="medium">
        <color rgb="FFFF7C80"/>
      </bottom>
      <diagonal/>
    </border>
    <border>
      <left style="thin">
        <color indexed="64"/>
      </left>
      <right style="thin">
        <color indexed="64"/>
      </right>
      <top style="thin">
        <color indexed="64"/>
      </top>
      <bottom style="medium">
        <color rgb="FFFF7C80"/>
      </bottom>
      <diagonal/>
    </border>
    <border>
      <left style="thin">
        <color indexed="64"/>
      </left>
      <right/>
      <top style="thin">
        <color indexed="64"/>
      </top>
      <bottom style="medium">
        <color rgb="FFFF7C80"/>
      </bottom>
      <diagonal/>
    </border>
    <border>
      <left/>
      <right style="thin">
        <color rgb="FFFF7C80"/>
      </right>
      <top/>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style="thin">
        <color rgb="FFFF7C80"/>
      </right>
      <top style="medium">
        <color rgb="FFFF7C80"/>
      </top>
      <bottom/>
      <diagonal/>
    </border>
    <border>
      <left style="thin">
        <color rgb="FFFF7C80"/>
      </left>
      <right style="medium">
        <color rgb="FFFF7C80"/>
      </right>
      <top style="medium">
        <color rgb="FFFF7C80"/>
      </top>
      <bottom/>
      <diagonal/>
    </border>
    <border>
      <left style="thin">
        <color rgb="FFFF7C80"/>
      </left>
      <right/>
      <top style="medium">
        <color rgb="FFFF7C80"/>
      </top>
      <bottom/>
      <diagonal/>
    </border>
    <border>
      <left style="thin">
        <color theme="0"/>
      </left>
      <right/>
      <top style="thin">
        <color theme="0"/>
      </top>
      <bottom style="thin">
        <color theme="0"/>
      </bottom>
      <diagonal/>
    </border>
    <border>
      <left style="thin">
        <color theme="0"/>
      </left>
      <right/>
      <top style="thin">
        <color theme="0"/>
      </top>
      <bottom style="medium">
        <color rgb="FFFF7C80"/>
      </bottom>
      <diagonal/>
    </border>
    <border>
      <left/>
      <right/>
      <top style="thin">
        <color rgb="FFFF7C80"/>
      </top>
      <bottom style="thin">
        <color rgb="FFFF7C80"/>
      </bottom>
      <diagonal/>
    </border>
    <border>
      <left/>
      <right/>
      <top style="thin">
        <color theme="7"/>
      </top>
      <bottom/>
      <diagonal/>
    </border>
    <border>
      <left/>
      <right style="medium">
        <color rgb="FFFF7C80"/>
      </right>
      <top style="medium">
        <color rgb="FFFF7C80"/>
      </top>
      <bottom style="thin">
        <color theme="0"/>
      </bottom>
      <diagonal/>
    </border>
    <border>
      <left/>
      <right style="medium">
        <color rgb="FFFF7C80"/>
      </right>
      <top style="thin">
        <color theme="0"/>
      </top>
      <bottom style="thin">
        <color theme="0"/>
      </bottom>
      <diagonal/>
    </border>
    <border>
      <left style="medium">
        <color rgb="FFFF7C80"/>
      </left>
      <right style="thin">
        <color theme="0"/>
      </right>
      <top style="medium">
        <color rgb="FFFF7C80"/>
      </top>
      <bottom style="thin">
        <color theme="0"/>
      </bottom>
      <diagonal/>
    </border>
    <border>
      <left style="thin">
        <color theme="0"/>
      </left>
      <right style="thin">
        <color theme="0"/>
      </right>
      <top style="medium">
        <color rgb="FFFF7C80"/>
      </top>
      <bottom style="thin">
        <color theme="0"/>
      </bottom>
      <diagonal/>
    </border>
    <border>
      <left style="thin">
        <color theme="0"/>
      </left>
      <right/>
      <top style="medium">
        <color rgb="FFFF7C80"/>
      </top>
      <bottom style="thin">
        <color theme="0"/>
      </bottom>
      <diagonal/>
    </border>
    <border>
      <left style="thin">
        <color theme="0"/>
      </left>
      <right style="medium">
        <color rgb="FFFF7C80"/>
      </right>
      <top style="medium">
        <color rgb="FFFF7C80"/>
      </top>
      <bottom style="thin">
        <color theme="0"/>
      </bottom>
      <diagonal/>
    </border>
    <border>
      <left/>
      <right style="medium">
        <color rgb="FFFF7C80"/>
      </right>
      <top style="thin">
        <color theme="0"/>
      </top>
      <bottom style="medium">
        <color rgb="FFFF7C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7C80"/>
      </left>
      <right/>
      <top/>
      <bottom/>
      <diagonal/>
    </border>
    <border>
      <left style="thin">
        <color theme="0"/>
      </left>
      <right style="thin">
        <color theme="0"/>
      </right>
      <top style="medium">
        <color rgb="FFFF7C80"/>
      </top>
      <bottom/>
      <diagonal/>
    </border>
    <border>
      <left/>
      <right/>
      <top style="thin">
        <color rgb="FFFF7C80"/>
      </top>
      <bottom/>
      <diagonal/>
    </border>
    <border>
      <left style="thick">
        <color rgb="FFFF7C80"/>
      </left>
      <right/>
      <top/>
      <bottom style="medium">
        <color rgb="FFFF7C80"/>
      </bottom>
      <diagonal/>
    </border>
    <border>
      <left style="thin">
        <color theme="0" tint="-0.499984740745262"/>
      </left>
      <right/>
      <top style="thin">
        <color theme="0" tint="-0.499984740745262"/>
      </top>
      <bottom style="thin">
        <color theme="0" tint="-0.499984740745262"/>
      </bottom>
      <diagonal/>
    </border>
    <border>
      <left style="thin">
        <color theme="0"/>
      </left>
      <right style="medium">
        <color rgb="FFFF7C80"/>
      </right>
      <top style="medium">
        <color rgb="FFFF7C80"/>
      </top>
      <bottom/>
      <diagonal/>
    </border>
    <border>
      <left/>
      <right style="medium">
        <color rgb="FFFF7C80"/>
      </right>
      <top/>
      <bottom style="thin">
        <color rgb="FFFF7C80"/>
      </bottom>
      <diagonal/>
    </border>
  </borders>
  <cellStyleXfs count="6">
    <xf numFmtId="0" fontId="0" fillId="0" borderId="0"/>
    <xf numFmtId="0" fontId="9" fillId="0" borderId="0" applyNumberFormat="0" applyFill="0" applyBorder="0" applyAlignment="0" applyProtection="0"/>
    <xf numFmtId="9" fontId="14" fillId="0" borderId="0" applyFont="0" applyFill="0" applyBorder="0" applyAlignment="0" applyProtection="0"/>
    <xf numFmtId="41" fontId="14" fillId="0" borderId="0" applyFont="0" applyFill="0" applyBorder="0" applyAlignment="0" applyProtection="0"/>
    <xf numFmtId="0" fontId="14" fillId="0" borderId="0"/>
    <xf numFmtId="0" fontId="33" fillId="0" borderId="0"/>
  </cellStyleXfs>
  <cellXfs count="1192">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7"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0" fontId="1" fillId="0" borderId="13" xfId="0" applyFont="1" applyBorder="1"/>
    <xf numFmtId="0" fontId="1" fillId="0" borderId="14" xfId="0" applyFont="1" applyBorder="1"/>
    <xf numFmtId="0" fontId="0" fillId="0" borderId="15" xfId="0" applyBorder="1"/>
    <xf numFmtId="0" fontId="10" fillId="5" borderId="0" xfId="0" applyFont="1" applyFill="1" applyAlignment="1">
      <alignment vertical="center"/>
    </xf>
    <xf numFmtId="0" fontId="10" fillId="5" borderId="0" xfId="0" applyFont="1" applyFill="1"/>
    <xf numFmtId="0" fontId="9" fillId="0" borderId="0" xfId="1"/>
    <xf numFmtId="0" fontId="10" fillId="6" borderId="0" xfId="0" applyFont="1" applyFill="1"/>
    <xf numFmtId="0" fontId="11" fillId="7" borderId="0" xfId="0" applyFont="1" applyFill="1" applyAlignment="1">
      <alignment horizontal="right"/>
    </xf>
    <xf numFmtId="0" fontId="11" fillId="7" borderId="0" xfId="0" applyFont="1" applyFill="1"/>
    <xf numFmtId="0" fontId="10" fillId="0" borderId="0" xfId="0" applyFont="1" applyAlignment="1">
      <alignment vertical="center"/>
    </xf>
    <xf numFmtId="0" fontId="9" fillId="0" borderId="0" xfId="1" applyFill="1"/>
    <xf numFmtId="0" fontId="10"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2"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9" fontId="0" fillId="0" borderId="7" xfId="2" applyFont="1" applyBorder="1" applyAlignment="1">
      <alignment horizontal="center" vertical="center"/>
    </xf>
    <xf numFmtId="9" fontId="0" fillId="0" borderId="5" xfId="2" applyFont="1" applyBorder="1" applyAlignment="1">
      <alignment horizontal="center" vertical="center"/>
    </xf>
    <xf numFmtId="9" fontId="0" fillId="0" borderId="0" xfId="0" applyNumberFormat="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9" fontId="7" fillId="0" borderId="31" xfId="2"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 xfId="0" applyFont="1" applyFill="1" applyBorder="1"/>
    <xf numFmtId="0" fontId="1" fillId="0" borderId="0" xfId="0" applyFont="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6" xfId="0" applyFill="1" applyBorder="1" applyProtection="1">
      <protection locked="0"/>
    </xf>
    <xf numFmtId="0" fontId="0" fillId="3" borderId="37" xfId="0" applyFill="1" applyBorder="1" applyProtection="1">
      <protection locked="0"/>
    </xf>
    <xf numFmtId="0" fontId="0" fillId="3" borderId="39"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20" xfId="0" applyFill="1" applyBorder="1" applyAlignment="1" applyProtection="1">
      <alignment horizontal="center" vertical="center"/>
      <protection locked="0"/>
    </xf>
    <xf numFmtId="0" fontId="0" fillId="3" borderId="11" xfId="0" applyFill="1" applyBorder="1" applyProtection="1">
      <protection locked="0"/>
    </xf>
    <xf numFmtId="0" fontId="8"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9" fontId="0" fillId="0" borderId="4" xfId="2" applyFont="1" applyBorder="1" applyAlignment="1">
      <alignment horizontal="center" vertical="center"/>
    </xf>
    <xf numFmtId="9" fontId="0" fillId="0" borderId="0" xfId="2" applyFont="1" applyBorder="1" applyAlignment="1">
      <alignment horizontal="center" vertical="center"/>
    </xf>
    <xf numFmtId="9" fontId="0" fillId="0" borderId="9" xfId="2" applyFont="1" applyBorder="1" applyAlignment="1">
      <alignment horizontal="center" vertical="center"/>
    </xf>
    <xf numFmtId="0" fontId="0" fillId="0" borderId="21" xfId="0" applyBorder="1" applyAlignment="1">
      <alignment horizontal="center"/>
    </xf>
    <xf numFmtId="0" fontId="0" fillId="0" borderId="44" xfId="0" applyBorder="1" applyAlignment="1">
      <alignment horizontal="center"/>
    </xf>
    <xf numFmtId="0" fontId="0" fillId="0" borderId="28" xfId="0" applyBorder="1" applyAlignment="1">
      <alignment horizontal="center"/>
    </xf>
    <xf numFmtId="0" fontId="8" fillId="2" borderId="44" xfId="0" applyFont="1" applyFill="1" applyBorder="1" applyAlignment="1">
      <alignment horizontal="center" vertical="center" wrapText="1"/>
    </xf>
    <xf numFmtId="0" fontId="0" fillId="0" borderId="44" xfId="0" applyBorder="1"/>
    <xf numFmtId="0" fontId="0" fillId="0" borderId="28" xfId="0" applyBorder="1"/>
    <xf numFmtId="0" fontId="0" fillId="0" borderId="21" xfId="0" applyBorder="1"/>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8" fillId="2" borderId="17" xfId="0" applyFont="1" applyFill="1" applyBorder="1" applyAlignment="1">
      <alignment horizontal="right"/>
    </xf>
    <xf numFmtId="0" fontId="0" fillId="0" borderId="46" xfId="0" applyBorder="1"/>
    <xf numFmtId="0" fontId="8" fillId="2" borderId="18" xfId="0" applyFont="1" applyFill="1" applyBorder="1"/>
    <xf numFmtId="0" fontId="0" fillId="11" borderId="15" xfId="0" applyFill="1" applyBorder="1" applyAlignment="1">
      <alignment wrapText="1"/>
    </xf>
    <xf numFmtId="0" fontId="0" fillId="2" borderId="17" xfId="0" applyFill="1" applyBorder="1" applyAlignment="1">
      <alignment wrapText="1"/>
    </xf>
    <xf numFmtId="0" fontId="0" fillId="2" borderId="18" xfId="0" applyFill="1" applyBorder="1" applyAlignment="1">
      <alignment vertical="center"/>
    </xf>
    <xf numFmtId="0" fontId="0" fillId="3" borderId="45"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8" fillId="2" borderId="0" xfId="0" applyFont="1" applyFill="1" applyAlignment="1">
      <alignment horizontal="center" vertical="center" wrapText="1"/>
    </xf>
    <xf numFmtId="9" fontId="1" fillId="2" borderId="10"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8" fillId="2" borderId="0" xfId="2" applyFont="1" applyFill="1" applyBorder="1" applyAlignment="1">
      <alignment horizontal="center" vertical="center" wrapText="1"/>
    </xf>
    <xf numFmtId="0" fontId="18"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vertical="center"/>
    </xf>
    <xf numFmtId="0" fontId="22" fillId="2" borderId="0" xfId="0" applyFont="1" applyFill="1" applyAlignment="1">
      <alignment vertical="center"/>
    </xf>
    <xf numFmtId="0" fontId="0" fillId="3" borderId="19" xfId="0"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9" fillId="0" borderId="11" xfId="1" applyBorder="1" applyAlignment="1">
      <alignment horizontal="center" vertical="center"/>
    </xf>
    <xf numFmtId="0" fontId="0" fillId="0" borderId="51" xfId="0" applyBorder="1" applyAlignment="1">
      <alignment horizontal="center" vertical="center"/>
    </xf>
    <xf numFmtId="0" fontId="1" fillId="2" borderId="0" xfId="0" applyFont="1" applyFill="1" applyAlignment="1">
      <alignment horizontal="center"/>
    </xf>
    <xf numFmtId="0" fontId="0" fillId="0" borderId="11" xfId="0" applyBorder="1" applyAlignment="1">
      <alignment horizontal="center" vertical="center" wrapText="1"/>
    </xf>
    <xf numFmtId="0" fontId="0" fillId="0" borderId="11" xfId="0" applyBorder="1" applyAlignment="1">
      <alignment horizontal="center"/>
    </xf>
    <xf numFmtId="0" fontId="0" fillId="0" borderId="11" xfId="0" applyBorder="1" applyAlignment="1">
      <alignment horizontal="center" wrapText="1"/>
    </xf>
    <xf numFmtId="0" fontId="9" fillId="0" borderId="0" xfId="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4" fontId="0" fillId="0" borderId="0" xfId="0" applyNumberFormat="1" applyAlignment="1">
      <alignment horizont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51" xfId="0" applyBorder="1" applyAlignment="1">
      <alignment horizontal="left" vertical="center"/>
    </xf>
    <xf numFmtId="0" fontId="1" fillId="4" borderId="44" xfId="0" applyFont="1" applyFill="1" applyBorder="1" applyAlignment="1">
      <alignment horizontal="left" vertical="center" wrapText="1"/>
    </xf>
    <xf numFmtId="0" fontId="1" fillId="2" borderId="9" xfId="0" applyFont="1" applyFill="1" applyBorder="1" applyAlignment="1">
      <alignment horizontal="center"/>
    </xf>
    <xf numFmtId="0" fontId="0" fillId="13" borderId="53" xfId="0" applyFill="1" applyBorder="1"/>
    <xf numFmtId="0" fontId="7" fillId="4" borderId="2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0" fontId="0" fillId="0" borderId="19" xfId="0" applyBorder="1"/>
    <xf numFmtId="0" fontId="0" fillId="0" borderId="2" xfId="0" applyBorder="1"/>
    <xf numFmtId="165" fontId="0" fillId="0" borderId="21" xfId="0" applyNumberFormat="1" applyBorder="1" applyAlignment="1">
      <alignment horizontal="center" vertical="center"/>
    </xf>
    <xf numFmtId="165" fontId="0" fillId="0" borderId="44" xfId="0" applyNumberFormat="1" applyBorder="1" applyAlignment="1">
      <alignment horizontal="center" vertical="center"/>
    </xf>
    <xf numFmtId="165" fontId="0" fillId="0" borderId="28" xfId="0" applyNumberFormat="1" applyBorder="1" applyAlignment="1">
      <alignment horizontal="center" vertical="center"/>
    </xf>
    <xf numFmtId="165" fontId="0" fillId="11" borderId="21" xfId="0" applyNumberFormat="1" applyFill="1" applyBorder="1" applyAlignment="1">
      <alignment horizontal="center" vertical="center"/>
    </xf>
    <xf numFmtId="2" fontId="1" fillId="11" borderId="28" xfId="0" applyNumberFormat="1" applyFont="1" applyFill="1" applyBorder="1" applyAlignment="1">
      <alignment horizontal="center" vertical="center"/>
    </xf>
    <xf numFmtId="0" fontId="0" fillId="0" borderId="53" xfId="0" applyBorder="1" applyAlignment="1">
      <alignment horizontal="center"/>
    </xf>
    <xf numFmtId="0" fontId="0" fillId="8" borderId="0" xfId="0" applyFill="1" applyAlignment="1">
      <alignment horizontal="center"/>
    </xf>
    <xf numFmtId="2" fontId="0" fillId="11" borderId="28" xfId="0" applyNumberFormat="1" applyFill="1" applyBorder="1" applyAlignment="1">
      <alignment horizontal="center" vertical="center"/>
    </xf>
    <xf numFmtId="0" fontId="1" fillId="0" borderId="1" xfId="0" applyFont="1" applyBorder="1" applyAlignment="1">
      <alignment horizontal="center" vertical="center" wrapText="1"/>
    </xf>
    <xf numFmtId="0" fontId="0" fillId="0" borderId="35" xfId="0" applyBorder="1"/>
    <xf numFmtId="0" fontId="0" fillId="11" borderId="60" xfId="0" applyFill="1" applyBorder="1"/>
    <xf numFmtId="0" fontId="0" fillId="11" borderId="33" xfId="0" applyFill="1" applyBorder="1" applyAlignment="1">
      <alignment vertical="center"/>
    </xf>
    <xf numFmtId="0" fontId="8" fillId="2" borderId="12" xfId="0" applyFont="1" applyFill="1" applyBorder="1" applyAlignment="1">
      <alignment wrapText="1"/>
    </xf>
    <xf numFmtId="0" fontId="8" fillId="2" borderId="12" xfId="0" applyFont="1" applyFill="1" applyBorder="1" applyAlignment="1">
      <alignment vertical="center"/>
    </xf>
    <xf numFmtId="0" fontId="0" fillId="11" borderId="16" xfId="0" applyFill="1" applyBorder="1" applyAlignment="1">
      <alignment vertical="center"/>
    </xf>
    <xf numFmtId="0" fontId="0" fillId="0" borderId="0" xfId="0" applyAlignment="1">
      <alignment horizontal="left" vertical="center"/>
    </xf>
    <xf numFmtId="0" fontId="0" fillId="0" borderId="0" xfId="0" applyProtection="1">
      <protection locked="0"/>
    </xf>
    <xf numFmtId="0" fontId="23" fillId="0" borderId="0" xfId="4" applyFont="1" applyProtection="1">
      <protection locked="0"/>
    </xf>
    <xf numFmtId="164" fontId="23" fillId="0" borderId="0" xfId="4" applyNumberFormat="1" applyFont="1" applyAlignment="1" applyProtection="1">
      <alignment horizontal="center" vertical="center"/>
      <protection locked="0"/>
    </xf>
    <xf numFmtId="164" fontId="23" fillId="0" borderId="0" xfId="4" applyNumberFormat="1" applyFont="1" applyProtection="1">
      <protection locked="0"/>
    </xf>
    <xf numFmtId="164" fontId="23" fillId="16" borderId="67" xfId="4" applyNumberFormat="1" applyFont="1" applyFill="1" applyBorder="1" applyAlignment="1" applyProtection="1">
      <alignment horizontal="center" vertical="center"/>
      <protection hidden="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4" fillId="19" borderId="77" xfId="5" applyFont="1" applyFill="1" applyBorder="1" applyAlignment="1">
      <alignment vertical="top" wrapText="1"/>
    </xf>
    <xf numFmtId="0" fontId="36" fillId="19" borderId="79" xfId="5" applyFont="1" applyFill="1" applyBorder="1" applyAlignment="1">
      <alignment horizontal="left" vertical="top" wrapText="1"/>
    </xf>
    <xf numFmtId="0" fontId="36" fillId="19" borderId="80" xfId="5" applyFont="1" applyFill="1" applyBorder="1" applyAlignment="1">
      <alignment horizontal="center" vertical="top"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4" fillId="20" borderId="80" xfId="5" applyFont="1" applyFill="1" applyBorder="1" applyAlignment="1">
      <alignment horizontal="left" vertical="top" wrapText="1"/>
    </xf>
    <xf numFmtId="1" fontId="38" fillId="20" borderId="80" xfId="5" applyNumberFormat="1" applyFont="1" applyFill="1" applyBorder="1" applyAlignment="1">
      <alignment horizontal="center" vertical="top" shrinkToFit="1"/>
    </xf>
    <xf numFmtId="0" fontId="36" fillId="19" borderId="85" xfId="5" applyFont="1" applyFill="1" applyBorder="1" applyAlignment="1">
      <alignment horizontal="left" vertical="top" wrapText="1" indent="1"/>
    </xf>
    <xf numFmtId="0" fontId="36" fillId="19" borderId="80" xfId="5" applyFont="1" applyFill="1" applyBorder="1" applyAlignment="1">
      <alignment horizontal="right" vertical="top" wrapText="1" indent="2"/>
    </xf>
    <xf numFmtId="0" fontId="36" fillId="19" borderId="80" xfId="5" applyFont="1" applyFill="1" applyBorder="1" applyAlignment="1">
      <alignment horizontal="left" vertical="top" wrapText="1"/>
    </xf>
    <xf numFmtId="0" fontId="9" fillId="0" borderId="0" xfId="1" quotePrefix="1"/>
    <xf numFmtId="2" fontId="38" fillId="20" borderId="80" xfId="5" applyNumberFormat="1" applyFont="1" applyFill="1" applyBorder="1" applyAlignment="1">
      <alignment horizontal="center" vertical="top" shrinkToFit="1"/>
    </xf>
    <xf numFmtId="0" fontId="36" fillId="19" borderId="80" xfId="5" applyFont="1" applyFill="1" applyBorder="1" applyAlignment="1">
      <alignment horizontal="center" vertical="center" wrapText="1"/>
    </xf>
    <xf numFmtId="0" fontId="34" fillId="20" borderId="80" xfId="5" applyFont="1" applyFill="1" applyBorder="1" applyAlignment="1">
      <alignment horizontal="center" vertical="top" wrapText="1"/>
    </xf>
    <xf numFmtId="2" fontId="38" fillId="20" borderId="80" xfId="5" applyNumberFormat="1" applyFont="1" applyFill="1" applyBorder="1" applyAlignment="1">
      <alignment horizontal="center" vertical="center" shrinkToFit="1"/>
    </xf>
    <xf numFmtId="0" fontId="36" fillId="19" borderId="80" xfId="5" applyFont="1" applyFill="1" applyBorder="1" applyAlignment="1">
      <alignment horizontal="left" vertical="top" wrapText="1" indent="1"/>
    </xf>
    <xf numFmtId="2" fontId="38" fillId="0" borderId="80" xfId="5" applyNumberFormat="1" applyFont="1" applyBorder="1" applyAlignment="1">
      <alignment horizontal="center" vertical="top" shrinkToFit="1"/>
    </xf>
    <xf numFmtId="2" fontId="38" fillId="0" borderId="80" xfId="5" applyNumberFormat="1" applyFont="1" applyBorder="1" applyAlignment="1">
      <alignment horizontal="center" vertical="center" shrinkToFit="1"/>
    </xf>
    <xf numFmtId="0" fontId="33" fillId="0" borderId="84" xfId="5" applyBorder="1" applyAlignment="1">
      <alignment horizontal="left" wrapText="1"/>
    </xf>
    <xf numFmtId="0" fontId="34" fillId="20" borderId="77" xfId="5" applyFont="1" applyFill="1" applyBorder="1" applyAlignment="1">
      <alignment vertical="top" wrapText="1"/>
    </xf>
    <xf numFmtId="2" fontId="38" fillId="20" borderId="77" xfId="5" applyNumberFormat="1" applyFont="1" applyFill="1" applyBorder="1" applyAlignment="1">
      <alignment horizontal="center" vertical="center" shrinkToFit="1"/>
    </xf>
    <xf numFmtId="0" fontId="34" fillId="0" borderId="77" xfId="5" applyFont="1" applyBorder="1" applyAlignment="1">
      <alignment vertical="top" wrapText="1"/>
    </xf>
    <xf numFmtId="2" fontId="38" fillId="0" borderId="77" xfId="5" applyNumberFormat="1" applyFont="1" applyBorder="1" applyAlignment="1">
      <alignment horizontal="center" vertical="center" shrinkToFit="1"/>
    </xf>
    <xf numFmtId="0" fontId="34" fillId="0" borderId="80" xfId="5" applyFont="1" applyBorder="1" applyAlignment="1">
      <alignment horizontal="left" vertical="top" wrapText="1"/>
    </xf>
    <xf numFmtId="0" fontId="34" fillId="0" borderId="77" xfId="5" applyFont="1" applyBorder="1" applyAlignment="1">
      <alignment horizontal="left" vertical="top" wrapText="1"/>
    </xf>
    <xf numFmtId="0" fontId="36" fillId="19" borderId="76" xfId="5" applyFont="1" applyFill="1" applyBorder="1" applyAlignment="1">
      <alignment horizontal="center" vertical="center" textRotation="90" wrapText="1"/>
    </xf>
    <xf numFmtId="0" fontId="34" fillId="20" borderId="79" xfId="5" applyFont="1" applyFill="1" applyBorder="1" applyAlignment="1">
      <alignment horizontal="left" vertical="top" wrapText="1"/>
    </xf>
    <xf numFmtId="0" fontId="36" fillId="10" borderId="85" xfId="5" applyFont="1" applyFill="1" applyBorder="1" applyAlignment="1">
      <alignment vertical="center" textRotation="90" wrapText="1"/>
    </xf>
    <xf numFmtId="0" fontId="0" fillId="0" borderId="89" xfId="0" applyBorder="1"/>
    <xf numFmtId="0" fontId="37" fillId="10" borderId="77" xfId="5" applyFont="1" applyFill="1" applyBorder="1" applyAlignment="1">
      <alignment vertical="center" textRotation="90" wrapText="1"/>
    </xf>
    <xf numFmtId="0" fontId="34" fillId="20" borderId="83" xfId="5" applyFont="1" applyFill="1" applyBorder="1" applyAlignment="1">
      <alignment horizontal="left" vertical="top" wrapText="1"/>
    </xf>
    <xf numFmtId="0" fontId="34" fillId="20" borderId="83" xfId="5" applyFont="1" applyFill="1" applyBorder="1" applyAlignment="1">
      <alignment horizontal="center" vertical="top" wrapText="1"/>
    </xf>
    <xf numFmtId="0" fontId="0" fillId="0" borderId="53" xfId="0" applyBorder="1"/>
    <xf numFmtId="0" fontId="36" fillId="10" borderId="84" xfId="5" applyFont="1" applyFill="1" applyBorder="1" applyAlignment="1">
      <alignment vertical="center" textRotation="90" wrapText="1"/>
    </xf>
    <xf numFmtId="0" fontId="23" fillId="0" borderId="53" xfId="4" applyFont="1" applyBorder="1"/>
    <xf numFmtId="9" fontId="0" fillId="0" borderId="53" xfId="2" applyFont="1" applyBorder="1"/>
    <xf numFmtId="166" fontId="23" fillId="0" borderId="53" xfId="3" applyNumberFormat="1" applyFont="1" applyBorder="1"/>
    <xf numFmtId="9" fontId="0" fillId="0" borderId="53" xfId="0" applyNumberFormat="1" applyBorder="1"/>
    <xf numFmtId="0" fontId="23" fillId="0" borderId="0" xfId="4" applyFont="1"/>
    <xf numFmtId="0" fontId="34" fillId="20" borderId="0" xfId="5" applyFont="1" applyFill="1" applyAlignment="1">
      <alignment horizontal="left" vertical="top" wrapText="1"/>
    </xf>
    <xf numFmtId="0" fontId="42" fillId="22" borderId="80" xfId="0" applyFont="1" applyFill="1" applyBorder="1" applyAlignment="1">
      <alignment horizontal="left" vertical="top" wrapText="1" indent="1"/>
    </xf>
    <xf numFmtId="0" fontId="42" fillId="22" borderId="80" xfId="0" applyFont="1" applyFill="1" applyBorder="1" applyAlignment="1">
      <alignment horizontal="center" vertical="top" wrapText="1"/>
    </xf>
    <xf numFmtId="0" fontId="42" fillId="22" borderId="53" xfId="0" applyFont="1" applyFill="1" applyBorder="1" applyAlignment="1">
      <alignment vertical="center" wrapText="1"/>
    </xf>
    <xf numFmtId="0" fontId="42" fillId="22" borderId="53" xfId="0" applyFont="1" applyFill="1" applyBorder="1" applyAlignment="1">
      <alignment horizontal="center" vertical="top" wrapText="1"/>
    </xf>
    <xf numFmtId="0" fontId="42" fillId="19" borderId="80" xfId="0" applyFont="1" applyFill="1" applyBorder="1" applyAlignment="1">
      <alignment horizontal="left" vertical="top" wrapText="1" indent="1"/>
    </xf>
    <xf numFmtId="2" fontId="45" fillId="0" borderId="80" xfId="0" applyNumberFormat="1" applyFont="1" applyBorder="1" applyAlignment="1">
      <alignment horizontal="center" vertical="top" shrinkToFit="1"/>
    </xf>
    <xf numFmtId="0" fontId="46" fillId="0" borderId="80" xfId="0" applyFont="1" applyBorder="1" applyAlignment="1">
      <alignment horizontal="center" vertical="top" wrapText="1"/>
    </xf>
    <xf numFmtId="0" fontId="0" fillId="0" borderId="53" xfId="0" applyBorder="1" applyAlignment="1">
      <alignment wrapText="1"/>
    </xf>
    <xf numFmtId="41" fontId="14" fillId="0" borderId="53" xfId="3" applyFont="1" applyBorder="1" applyAlignment="1">
      <alignment horizontal="center" vertical="center"/>
    </xf>
    <xf numFmtId="166" fontId="14" fillId="0" borderId="53" xfId="3" applyNumberFormat="1" applyFont="1" applyBorder="1" applyAlignment="1">
      <alignment horizontal="center" vertical="center"/>
    </xf>
    <xf numFmtId="166" fontId="14" fillId="0" borderId="53" xfId="3" applyNumberFormat="1" applyFont="1" applyFill="1" applyBorder="1" applyAlignment="1">
      <alignment horizontal="center" vertical="center"/>
    </xf>
    <xf numFmtId="0" fontId="28" fillId="15" borderId="90" xfId="4" applyFont="1" applyFill="1" applyBorder="1" applyAlignment="1" applyProtection="1">
      <alignment horizontal="left" vertical="center" indent="1"/>
      <protection locked="0"/>
    </xf>
    <xf numFmtId="164" fontId="23" fillId="16" borderId="91" xfId="4" applyNumberFormat="1" applyFont="1" applyFill="1" applyBorder="1" applyAlignment="1" applyProtection="1">
      <alignment horizontal="center" vertical="center"/>
      <protection hidden="1"/>
    </xf>
    <xf numFmtId="2" fontId="45" fillId="20" borderId="80" xfId="0" applyNumberFormat="1" applyFont="1" applyFill="1" applyBorder="1" applyAlignment="1">
      <alignment horizontal="center" vertical="top" shrinkToFit="1"/>
    </xf>
    <xf numFmtId="166" fontId="48" fillId="20" borderId="53" xfId="3" applyNumberFormat="1" applyFont="1" applyFill="1" applyBorder="1" applyAlignment="1">
      <alignment horizontal="center" vertical="center" shrinkToFit="1"/>
    </xf>
    <xf numFmtId="0" fontId="28" fillId="15" borderId="95" xfId="4" applyFont="1" applyFill="1" applyBorder="1" applyAlignment="1" applyProtection="1">
      <alignment horizontal="left" vertical="center" indent="1"/>
      <protection locked="0"/>
    </xf>
    <xf numFmtId="166" fontId="48" fillId="0" borderId="53" xfId="3" applyNumberFormat="1" applyFont="1" applyFill="1" applyBorder="1" applyAlignment="1">
      <alignment horizontal="center" vertical="center" shrinkToFit="1"/>
    </xf>
    <xf numFmtId="164" fontId="23" fillId="17" borderId="67" xfId="4" applyNumberFormat="1" applyFont="1" applyFill="1" applyBorder="1" applyAlignment="1" applyProtection="1">
      <alignment horizontal="center" vertical="center"/>
      <protection hidden="1"/>
    </xf>
    <xf numFmtId="0" fontId="24" fillId="0" borderId="98" xfId="4" applyFont="1" applyBorder="1" applyProtection="1">
      <protection locked="0"/>
    </xf>
    <xf numFmtId="0" fontId="26" fillId="10" borderId="0" xfId="4" applyFont="1" applyFill="1" applyAlignment="1" applyProtection="1">
      <alignment vertical="top" wrapText="1"/>
      <protection locked="0"/>
    </xf>
    <xf numFmtId="0" fontId="26" fillId="10" borderId="96" xfId="4" applyFont="1" applyFill="1" applyBorder="1" applyAlignment="1" applyProtection="1">
      <alignment vertical="top" wrapText="1"/>
      <protection locked="0"/>
    </xf>
    <xf numFmtId="0" fontId="31" fillId="15" borderId="95" xfId="4" applyFont="1" applyFill="1" applyBorder="1" applyAlignment="1" applyProtection="1">
      <alignment horizontal="left" vertical="center" indent="1"/>
      <protection locked="0"/>
    </xf>
    <xf numFmtId="1" fontId="23" fillId="17" borderId="67" xfId="4" applyNumberFormat="1" applyFont="1" applyFill="1" applyBorder="1" applyAlignment="1" applyProtection="1">
      <alignment horizontal="center" vertical="center"/>
      <protection locked="0"/>
    </xf>
    <xf numFmtId="0" fontId="46" fillId="20" borderId="80" xfId="0" applyFont="1" applyFill="1" applyBorder="1" applyAlignment="1">
      <alignment horizontal="center" vertical="top" wrapText="1"/>
    </xf>
    <xf numFmtId="0" fontId="49" fillId="15" borderId="95" xfId="4" applyFont="1" applyFill="1" applyBorder="1" applyAlignment="1" applyProtection="1">
      <alignment horizontal="left" vertical="center" wrapText="1" indent="1"/>
      <protection locked="0"/>
    </xf>
    <xf numFmtId="2" fontId="27" fillId="17" borderId="67" xfId="4" applyNumberFormat="1" applyFont="1" applyFill="1" applyBorder="1" applyAlignment="1" applyProtection="1">
      <alignment horizontal="center" vertical="center"/>
      <protection hidden="1"/>
    </xf>
    <xf numFmtId="0" fontId="0" fillId="0" borderId="96" xfId="0" applyBorder="1" applyProtection="1">
      <protection locked="0"/>
    </xf>
    <xf numFmtId="0" fontId="49" fillId="15" borderId="102" xfId="4" applyFont="1" applyFill="1" applyBorder="1" applyAlignment="1" applyProtection="1">
      <alignment horizontal="left" vertical="center" wrapText="1" indent="1"/>
      <protection locked="0"/>
    </xf>
    <xf numFmtId="2" fontId="27" fillId="17" borderId="103" xfId="4" applyNumberFormat="1" applyFont="1" applyFill="1" applyBorder="1" applyAlignment="1" applyProtection="1">
      <alignment horizontal="center" vertical="center"/>
      <protection hidden="1"/>
    </xf>
    <xf numFmtId="164" fontId="14" fillId="0" borderId="0" xfId="4" applyNumberFormat="1" applyAlignment="1" applyProtection="1">
      <alignment horizontal="center" vertical="center"/>
      <protection locked="0"/>
    </xf>
    <xf numFmtId="0" fontId="14" fillId="0" borderId="0" xfId="4" applyProtection="1">
      <protection locked="0"/>
    </xf>
    <xf numFmtId="164" fontId="14" fillId="0" borderId="0" xfId="4" applyNumberFormat="1" applyProtection="1">
      <protection locked="0"/>
    </xf>
    <xf numFmtId="0" fontId="14" fillId="0" borderId="0" xfId="0" applyFont="1" applyProtection="1">
      <protection locked="0"/>
    </xf>
    <xf numFmtId="0" fontId="14" fillId="0" borderId="0" xfId="4" applyAlignment="1" applyProtection="1">
      <alignment horizontal="left" vertical="center" indent="1"/>
      <protection locked="0"/>
    </xf>
    <xf numFmtId="2" fontId="11" fillId="3" borderId="11" xfId="4" applyNumberFormat="1" applyFont="1" applyFill="1" applyBorder="1" applyAlignment="1" applyProtection="1">
      <alignment horizontal="center" vertical="center"/>
      <protection locked="0"/>
    </xf>
    <xf numFmtId="164" fontId="11" fillId="3" borderId="45" xfId="4" applyNumberFormat="1" applyFont="1" applyFill="1" applyBorder="1" applyAlignment="1" applyProtection="1">
      <alignment horizontal="center" vertical="center"/>
      <protection locked="0"/>
    </xf>
    <xf numFmtId="9" fontId="11" fillId="3" borderId="46" xfId="2" applyFont="1" applyFill="1" applyBorder="1" applyAlignment="1" applyProtection="1">
      <alignment horizontal="center" vertical="center"/>
      <protection locked="0"/>
    </xf>
    <xf numFmtId="0" fontId="11" fillId="3" borderId="46" xfId="4" applyFont="1" applyFill="1" applyBorder="1" applyAlignment="1" applyProtection="1">
      <alignment horizontal="left" vertical="center" wrapText="1" indent="1"/>
      <protection locked="0"/>
    </xf>
    <xf numFmtId="164" fontId="14" fillId="3" borderId="11" xfId="4" applyNumberFormat="1" applyFill="1" applyBorder="1" applyAlignment="1" applyProtection="1">
      <alignment horizontal="center" vertical="center"/>
      <protection locked="0"/>
    </xf>
    <xf numFmtId="164" fontId="14" fillId="0" borderId="46" xfId="4" applyNumberFormat="1" applyBorder="1" applyAlignment="1" applyProtection="1">
      <alignment horizontal="center" vertical="center"/>
      <protection hidden="1"/>
    </xf>
    <xf numFmtId="9" fontId="14" fillId="3" borderId="20" xfId="2" applyFont="1" applyFill="1" applyBorder="1" applyAlignment="1" applyProtection="1">
      <alignment horizontal="center" vertical="center"/>
      <protection locked="0"/>
    </xf>
    <xf numFmtId="0" fontId="11" fillId="3" borderId="107" xfId="4" applyFont="1" applyFill="1" applyBorder="1" applyAlignment="1" applyProtection="1">
      <alignment horizontal="left" vertical="center" wrapText="1" indent="1"/>
      <protection locked="0"/>
    </xf>
    <xf numFmtId="164" fontId="14" fillId="3" borderId="54" xfId="4" applyNumberFormat="1" applyFill="1" applyBorder="1" applyAlignment="1" applyProtection="1">
      <alignment horizontal="center" vertical="center"/>
      <protection locked="0"/>
    </xf>
    <xf numFmtId="2" fontId="14" fillId="3" borderId="54" xfId="4" applyNumberFormat="1" applyFill="1" applyBorder="1" applyAlignment="1" applyProtection="1">
      <alignment horizontal="center" vertical="center"/>
      <protection locked="0"/>
    </xf>
    <xf numFmtId="0" fontId="11" fillId="2" borderId="0" xfId="0" applyFont="1" applyFill="1"/>
    <xf numFmtId="0" fontId="11" fillId="0" borderId="0" xfId="4" applyFont="1" applyProtection="1">
      <protection locked="0"/>
    </xf>
    <xf numFmtId="0" fontId="11" fillId="0" borderId="0" xfId="0" applyFont="1" applyAlignment="1" applyProtection="1">
      <alignment vertical="center"/>
      <protection locked="0"/>
    </xf>
    <xf numFmtId="0" fontId="11" fillId="0" borderId="64" xfId="0" applyFont="1" applyBorder="1" applyAlignment="1" applyProtection="1">
      <alignment vertical="center"/>
      <protection locked="0"/>
    </xf>
    <xf numFmtId="0" fontId="11" fillId="0" borderId="0" xfId="0" applyFont="1" applyAlignment="1" applyProtection="1">
      <alignment horizontal="left" vertical="center"/>
      <protection locked="0"/>
    </xf>
    <xf numFmtId="0" fontId="11" fillId="0" borderId="0" xfId="4" applyFont="1"/>
    <xf numFmtId="0" fontId="0" fillId="3" borderId="7" xfId="0" applyFill="1" applyBorder="1" applyAlignment="1" applyProtection="1">
      <alignment horizontal="center"/>
      <protection locked="0"/>
    </xf>
    <xf numFmtId="0" fontId="11" fillId="11" borderId="13" xfId="0" applyFont="1" applyFill="1" applyBorder="1" applyAlignment="1">
      <alignment horizontal="left" vertical="center" wrapText="1" indent="1"/>
    </xf>
    <xf numFmtId="0" fontId="0" fillId="3" borderId="1" xfId="0" applyFill="1" applyBorder="1" applyAlignment="1" applyProtection="1">
      <alignment horizontal="left"/>
      <protection locked="0"/>
    </xf>
    <xf numFmtId="0" fontId="0" fillId="10" borderId="0" xfId="0" applyFill="1" applyAlignment="1" applyProtection="1">
      <alignment horizontal="center"/>
      <protection locked="0"/>
    </xf>
    <xf numFmtId="0" fontId="0" fillId="10" borderId="19" xfId="0" applyFill="1" applyBorder="1" applyAlignment="1" applyProtection="1">
      <alignment horizontal="center"/>
      <protection locked="0"/>
    </xf>
    <xf numFmtId="0" fontId="1" fillId="0" borderId="49" xfId="0" applyFont="1" applyBorder="1" applyAlignment="1">
      <alignment vertical="center"/>
    </xf>
    <xf numFmtId="0" fontId="1" fillId="0" borderId="41" xfId="0" applyFont="1" applyBorder="1" applyAlignment="1">
      <alignment wrapText="1"/>
    </xf>
    <xf numFmtId="0" fontId="1" fillId="0" borderId="49" xfId="0" applyFont="1" applyBorder="1" applyAlignment="1">
      <alignment horizontal="center" vertical="center"/>
    </xf>
    <xf numFmtId="0" fontId="0" fillId="25" borderId="15" xfId="0" applyFill="1" applyBorder="1"/>
    <xf numFmtId="0" fontId="0" fillId="0" borderId="54" xfId="0" applyBorder="1" applyAlignment="1">
      <alignment horizontal="center" vertical="center"/>
    </xf>
    <xf numFmtId="0" fontId="0" fillId="0" borderId="50" xfId="0" applyBorder="1" applyAlignment="1">
      <alignment horizontal="center"/>
    </xf>
    <xf numFmtId="0" fontId="0" fillId="0" borderId="54" xfId="0" applyBorder="1" applyAlignment="1">
      <alignment horizontal="center"/>
    </xf>
    <xf numFmtId="0" fontId="0" fillId="0" borderId="47" xfId="0" applyBorder="1" applyAlignment="1">
      <alignment horizontal="center"/>
    </xf>
    <xf numFmtId="0" fontId="0" fillId="0" borderId="113" xfId="0" applyBorder="1"/>
    <xf numFmtId="0" fontId="8" fillId="2" borderId="19" xfId="0" applyFont="1" applyFill="1" applyBorder="1" applyAlignment="1">
      <alignment horizontal="center" vertical="center" wrapText="1"/>
    </xf>
    <xf numFmtId="0" fontId="2" fillId="2" borderId="60" xfId="0" applyFont="1" applyFill="1" applyBorder="1" applyAlignment="1">
      <alignment horizontal="left" vertical="center" wrapText="1" indent="1"/>
    </xf>
    <xf numFmtId="0" fontId="2" fillId="2" borderId="135" xfId="0" applyFont="1" applyFill="1" applyBorder="1" applyAlignment="1">
      <alignment vertical="center" wrapText="1"/>
    </xf>
    <xf numFmtId="0" fontId="2" fillId="2" borderId="136" xfId="0" applyFont="1" applyFill="1" applyBorder="1" applyAlignment="1">
      <alignment vertical="center" wrapText="1"/>
    </xf>
    <xf numFmtId="0" fontId="2" fillId="2" borderId="137" xfId="0" applyFont="1" applyFill="1" applyBorder="1" applyAlignment="1">
      <alignment vertical="center" wrapText="1"/>
    </xf>
    <xf numFmtId="0" fontId="0" fillId="3" borderId="144" xfId="0" applyFill="1" applyBorder="1" applyProtection="1">
      <protection locked="0"/>
    </xf>
    <xf numFmtId="0" fontId="0" fillId="3" borderId="145" xfId="0" applyFill="1" applyBorder="1" applyAlignment="1" applyProtection="1">
      <alignment horizontal="center"/>
      <protection locked="0"/>
    </xf>
    <xf numFmtId="0" fontId="0" fillId="3" borderId="147" xfId="0" applyFill="1" applyBorder="1" applyAlignment="1">
      <alignment horizontal="center" vertical="center"/>
    </xf>
    <xf numFmtId="0" fontId="1" fillId="0" borderId="3" xfId="0" applyFont="1" applyBorder="1" applyAlignment="1">
      <alignment horizontal="center" vertical="center" wrapText="1"/>
    </xf>
    <xf numFmtId="0" fontId="0" fillId="3" borderId="133" xfId="0" applyFill="1" applyBorder="1" applyAlignment="1">
      <alignment horizontal="center" vertical="center"/>
    </xf>
    <xf numFmtId="0" fontId="0" fillId="3" borderId="134" xfId="0" applyFill="1" applyBorder="1" applyAlignment="1">
      <alignment horizontal="center" vertical="center"/>
    </xf>
    <xf numFmtId="0" fontId="0" fillId="3" borderId="0" xfId="0" applyFill="1" applyAlignment="1">
      <alignment horizontal="center" vertical="center"/>
    </xf>
    <xf numFmtId="0" fontId="0" fillId="7" borderId="0" xfId="0" applyFill="1"/>
    <xf numFmtId="0" fontId="0" fillId="0" borderId="0" xfId="0" applyAlignment="1">
      <alignment vertical="center" wrapText="1"/>
    </xf>
    <xf numFmtId="0" fontId="58" fillId="28" borderId="0" xfId="0" applyFont="1" applyFill="1" applyAlignment="1">
      <alignment vertical="center" wrapText="1"/>
    </xf>
    <xf numFmtId="0" fontId="58" fillId="0" borderId="0" xfId="0" applyFont="1" applyAlignment="1">
      <alignment horizontal="center" vertical="center"/>
    </xf>
    <xf numFmtId="0" fontId="58" fillId="0" borderId="0" xfId="0" quotePrefix="1" applyFont="1" applyAlignment="1">
      <alignment vertical="center" wrapText="1"/>
    </xf>
    <xf numFmtId="0" fontId="0" fillId="29" borderId="0" xfId="0" applyFill="1" applyAlignment="1">
      <alignment horizontal="center"/>
    </xf>
    <xf numFmtId="0" fontId="0" fillId="0" borderId="53" xfId="0" applyBorder="1" applyAlignment="1">
      <alignment vertical="center" wrapText="1"/>
    </xf>
    <xf numFmtId="0" fontId="0" fillId="0" borderId="0" xfId="0" quotePrefix="1" applyAlignment="1">
      <alignment vertical="center" wrapText="1"/>
    </xf>
    <xf numFmtId="0" fontId="0" fillId="30" borderId="0" xfId="0" applyFill="1" applyAlignment="1">
      <alignment horizontal="center"/>
    </xf>
    <xf numFmtId="0" fontId="1" fillId="0" borderId="5" xfId="0" applyFont="1" applyBorder="1" applyAlignment="1">
      <alignment vertical="center" wrapText="1"/>
    </xf>
    <xf numFmtId="0" fontId="0" fillId="3" borderId="145" xfId="0" applyFill="1" applyBorder="1" applyAlignment="1" applyProtection="1">
      <alignment horizontal="left" indent="1"/>
      <protection locked="0"/>
    </xf>
    <xf numFmtId="0" fontId="0" fillId="3" borderId="35" xfId="0" applyFill="1" applyBorder="1" applyAlignment="1" applyProtection="1">
      <alignment horizontal="left" indent="1"/>
      <protection locked="0"/>
    </xf>
    <xf numFmtId="0" fontId="0" fillId="3" borderId="38" xfId="0" applyFill="1" applyBorder="1" applyAlignment="1" applyProtection="1">
      <alignment horizontal="left" indent="1"/>
      <protection locked="0"/>
    </xf>
    <xf numFmtId="9" fontId="0" fillId="0" borderId="145" xfId="2" applyFont="1" applyFill="1" applyBorder="1" applyAlignment="1">
      <alignment horizontal="center"/>
    </xf>
    <xf numFmtId="9" fontId="0" fillId="0" borderId="35" xfId="2" applyFont="1" applyFill="1" applyBorder="1" applyAlignment="1">
      <alignment horizontal="center"/>
    </xf>
    <xf numFmtId="9" fontId="0" fillId="0" borderId="38" xfId="2" applyFont="1" applyFill="1" applyBorder="1" applyAlignment="1">
      <alignment horizontal="center"/>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9" fontId="8" fillId="2" borderId="12" xfId="2" applyFont="1" applyFill="1" applyBorder="1" applyAlignment="1">
      <alignment horizontal="center" vertical="center" wrapText="1"/>
    </xf>
    <xf numFmtId="9" fontId="0" fillId="2" borderId="7" xfId="2" applyFont="1" applyFill="1" applyBorder="1" applyAlignment="1">
      <alignment horizontal="center" vertical="center"/>
    </xf>
    <xf numFmtId="9" fontId="0" fillId="2" borderId="12" xfId="2" applyFont="1" applyFill="1" applyBorder="1" applyAlignment="1">
      <alignment horizontal="center" vertical="center"/>
    </xf>
    <xf numFmtId="0" fontId="8" fillId="2" borderId="2" xfId="0" applyFont="1" applyFill="1" applyBorder="1" applyAlignment="1">
      <alignment horizontal="center" vertical="center" wrapText="1"/>
    </xf>
    <xf numFmtId="9" fontId="8" fillId="2" borderId="2" xfId="2" applyFont="1" applyFill="1" applyBorder="1" applyAlignment="1">
      <alignment horizontal="center" vertical="center" wrapText="1"/>
    </xf>
    <xf numFmtId="9" fontId="11" fillId="0" borderId="7" xfId="2"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0" fillId="0" borderId="53" xfId="0" applyBorder="1" applyAlignment="1">
      <alignment horizontal="center" vertical="center"/>
    </xf>
    <xf numFmtId="0" fontId="11" fillId="0" borderId="53" xfId="1" applyFont="1" applyFill="1" applyBorder="1" applyAlignment="1">
      <alignment horizontal="center" vertical="center"/>
    </xf>
    <xf numFmtId="14" fontId="0" fillId="0" borderId="53" xfId="0" applyNumberFormat="1" applyBorder="1" applyAlignment="1">
      <alignment horizontal="center" vertical="center"/>
    </xf>
    <xf numFmtId="0" fontId="11" fillId="0" borderId="53" xfId="0" applyFont="1" applyBorder="1" applyAlignment="1">
      <alignment horizontal="center" vertical="center"/>
    </xf>
    <xf numFmtId="0" fontId="9" fillId="0" borderId="53" xfId="1" applyFill="1" applyBorder="1" applyAlignment="1">
      <alignment horizontal="center"/>
    </xf>
    <xf numFmtId="14" fontId="11" fillId="0" borderId="53" xfId="0" applyNumberFormat="1" applyFont="1" applyBorder="1" applyAlignment="1">
      <alignment horizontal="center" vertical="center" wrapText="1"/>
    </xf>
    <xf numFmtId="14" fontId="11" fillId="0" borderId="53" xfId="0" applyNumberFormat="1" applyFont="1" applyBorder="1" applyAlignment="1">
      <alignment horizontal="center" vertical="center"/>
    </xf>
    <xf numFmtId="0" fontId="0" fillId="0" borderId="53" xfId="0" applyBorder="1" applyAlignment="1">
      <alignment horizontal="center" vertical="center" wrapText="1"/>
    </xf>
    <xf numFmtId="0" fontId="11" fillId="0" borderId="53" xfId="0" applyFont="1" applyBorder="1" applyAlignment="1">
      <alignment horizontal="center" vertical="center" wrapText="1"/>
    </xf>
    <xf numFmtId="0" fontId="9" fillId="0" borderId="53" xfId="1" applyFill="1" applyBorder="1" applyAlignment="1">
      <alignment horizontal="center" vertical="center"/>
    </xf>
    <xf numFmtId="0" fontId="1" fillId="0" borderId="53" xfId="0" applyFont="1" applyBorder="1" applyAlignment="1">
      <alignment horizontal="center" vertical="center" wrapText="1"/>
    </xf>
    <xf numFmtId="0" fontId="7" fillId="0" borderId="53" xfId="0" applyFont="1" applyBorder="1" applyAlignment="1">
      <alignment horizontal="center" vertical="center"/>
    </xf>
    <xf numFmtId="14" fontId="7" fillId="0" borderId="53" xfId="0" applyNumberFormat="1" applyFont="1" applyBorder="1" applyAlignment="1">
      <alignment horizontal="center" vertical="center"/>
    </xf>
    <xf numFmtId="0" fontId="0" fillId="0" borderId="149" xfId="0" applyBorder="1" applyAlignment="1">
      <alignment horizontal="center"/>
    </xf>
    <xf numFmtId="0" fontId="9" fillId="0" borderId="53" xfId="1" applyBorder="1" applyAlignment="1">
      <alignment horizontal="center" vertical="center" wrapText="1"/>
    </xf>
    <xf numFmtId="0" fontId="0" fillId="3" borderId="20" xfId="0" applyFill="1" applyBorder="1" applyAlignment="1" applyProtection="1">
      <alignment horizontal="center" vertical="center"/>
      <protection locked="0" hidden="1"/>
    </xf>
    <xf numFmtId="0" fontId="0" fillId="3" borderId="20" xfId="0" applyFill="1" applyBorder="1" applyAlignment="1" applyProtection="1">
      <alignment horizontal="center" vertical="center" wrapText="1"/>
      <protection locked="0" hidden="1"/>
    </xf>
    <xf numFmtId="0" fontId="22" fillId="2" borderId="0" xfId="0" applyFont="1" applyFill="1" applyAlignment="1" applyProtection="1">
      <alignmen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0" fillId="0" borderId="0" xfId="0" applyAlignment="1" applyProtection="1">
      <alignment horizontal="center"/>
      <protection locked="0"/>
    </xf>
    <xf numFmtId="0" fontId="2" fillId="10" borderId="0" xfId="0" applyFont="1" applyFill="1" applyAlignment="1" applyProtection="1">
      <alignment vertical="center" wrapText="1"/>
      <protection locked="0"/>
    </xf>
    <xf numFmtId="0" fontId="13" fillId="0" borderId="0" xfId="0" applyFont="1" applyProtection="1">
      <protection locked="0"/>
    </xf>
    <xf numFmtId="0" fontId="0" fillId="4" borderId="11" xfId="0" applyFill="1" applyBorder="1" applyAlignment="1" applyProtection="1">
      <alignment horizontal="center" vertical="center"/>
      <protection locked="0"/>
    </xf>
    <xf numFmtId="0" fontId="0" fillId="0" borderId="0" xfId="0" applyAlignment="1" applyProtection="1">
      <alignment wrapText="1"/>
      <protection locked="0"/>
    </xf>
    <xf numFmtId="0" fontId="0" fillId="8" borderId="0" xfId="0"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1" fillId="12" borderId="140" xfId="0" applyFont="1" applyFill="1" applyBorder="1" applyProtection="1">
      <protection hidden="1"/>
    </xf>
    <xf numFmtId="0" fontId="1" fillId="12" borderId="140" xfId="0" applyFont="1" applyFill="1" applyBorder="1" applyAlignment="1" applyProtection="1">
      <alignment horizontal="center"/>
      <protection hidden="1"/>
    </xf>
    <xf numFmtId="2" fontId="1" fillId="12" borderId="54" xfId="0" applyNumberFormat="1" applyFont="1" applyFill="1" applyBorder="1" applyAlignment="1" applyProtection="1">
      <alignment horizontal="center"/>
      <protection hidden="1"/>
    </xf>
    <xf numFmtId="0" fontId="1" fillId="12" borderId="50" xfId="0" applyFont="1" applyFill="1" applyBorder="1" applyAlignment="1" applyProtection="1">
      <alignment horizontal="center"/>
      <protection hidden="1"/>
    </xf>
    <xf numFmtId="0" fontId="2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2" fillId="10" borderId="0" xfId="0" applyFont="1" applyFill="1" applyAlignment="1" applyProtection="1">
      <alignment vertical="center" wrapText="1"/>
      <protection hidden="1"/>
    </xf>
    <xf numFmtId="0" fontId="22" fillId="2" borderId="0" xfId="0" applyFont="1" applyFill="1" applyAlignment="1" applyProtection="1">
      <alignmen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vertical="center"/>
      <protection hidden="1"/>
    </xf>
    <xf numFmtId="0" fontId="22"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 fillId="10" borderId="0" xfId="0" applyFont="1" applyFill="1" applyAlignment="1">
      <alignment vertical="center" wrapText="1"/>
    </xf>
    <xf numFmtId="0" fontId="0" fillId="4" borderId="54" xfId="0" applyFill="1" applyBorder="1" applyAlignment="1" applyProtection="1">
      <alignment vertical="center"/>
      <protection locked="0"/>
    </xf>
    <xf numFmtId="0" fontId="0" fillId="4" borderId="50" xfId="0"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0" fillId="3" borderId="30" xfId="0"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11" fillId="3" borderId="3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3" fillId="3" borderId="34" xfId="0" applyFont="1" applyFill="1" applyBorder="1" applyAlignment="1" applyProtection="1">
      <alignment vertical="center" wrapText="1"/>
      <protection locked="0"/>
    </xf>
    <xf numFmtId="0" fontId="0" fillId="3" borderId="41" xfId="0" applyFill="1" applyBorder="1" applyAlignment="1" applyProtection="1">
      <alignment horizontal="center" vertical="center"/>
      <protection locked="0"/>
    </xf>
    <xf numFmtId="0" fontId="0" fillId="3" borderId="41" xfId="0" applyFill="1" applyBorder="1" applyAlignment="1" applyProtection="1">
      <alignment horizontal="center" vertical="center" wrapText="1"/>
      <protection locked="0"/>
    </xf>
    <xf numFmtId="0" fontId="19" fillId="10" borderId="0" xfId="0" applyFont="1" applyFill="1" applyAlignment="1" applyProtection="1">
      <alignment vertical="center" wrapText="1"/>
      <protection locked="0"/>
    </xf>
    <xf numFmtId="164" fontId="0" fillId="3" borderId="11" xfId="0" applyNumberFormat="1" applyFill="1" applyBorder="1" applyAlignment="1" applyProtection="1">
      <alignment vertical="center"/>
      <protection locked="0"/>
    </xf>
    <xf numFmtId="164" fontId="0" fillId="3" borderId="0" xfId="0" applyNumberFormat="1" applyFill="1" applyProtection="1">
      <protection locked="0"/>
    </xf>
    <xf numFmtId="164" fontId="0" fillId="3" borderId="27" xfId="0" applyNumberFormat="1" applyFill="1" applyBorder="1" applyAlignment="1" applyProtection="1">
      <alignment vertical="center"/>
      <protection locked="0"/>
    </xf>
    <xf numFmtId="164" fontId="0" fillId="0" borderId="0" xfId="0" applyNumberFormat="1" applyProtection="1">
      <protection locked="0"/>
    </xf>
    <xf numFmtId="0" fontId="0" fillId="4" borderId="11"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1" fontId="0" fillId="4" borderId="20" xfId="0" applyNumberFormat="1"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27" xfId="0" applyFill="1" applyBorder="1" applyAlignment="1" applyProtection="1">
      <alignment horizontal="center" vertical="center"/>
      <protection locked="0"/>
    </xf>
    <xf numFmtId="0" fontId="0" fillId="4" borderId="47" xfId="0" applyFill="1" applyBorder="1" applyAlignment="1" applyProtection="1">
      <alignment horizontal="center"/>
      <protection locked="0"/>
    </xf>
    <xf numFmtId="0" fontId="0" fillId="4" borderId="48" xfId="0" applyFill="1" applyBorder="1" applyAlignment="1" applyProtection="1">
      <alignment vertical="center"/>
      <protection locked="0"/>
    </xf>
    <xf numFmtId="0" fontId="0" fillId="4" borderId="27" xfId="0" applyFill="1" applyBorder="1" applyAlignment="1" applyProtection="1">
      <alignment horizontal="center"/>
      <protection locked="0"/>
    </xf>
    <xf numFmtId="0" fontId="7" fillId="2" borderId="11" xfId="0" applyFont="1" applyFill="1" applyBorder="1" applyAlignment="1" applyProtection="1">
      <alignment vertical="center" wrapText="1"/>
      <protection hidden="1"/>
    </xf>
    <xf numFmtId="0" fontId="2" fillId="2" borderId="3"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0" fillId="0" borderId="29" xfId="0" applyBorder="1" applyAlignment="1" applyProtection="1">
      <alignment vertical="center" wrapText="1"/>
      <protection hidden="1"/>
    </xf>
    <xf numFmtId="0" fontId="2" fillId="2" borderId="19" xfId="0" applyFont="1" applyFill="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2" fontId="0" fillId="0" borderId="33" xfId="0" applyNumberFormat="1" applyBorder="1" applyAlignment="1" applyProtection="1">
      <alignment horizontal="center"/>
      <protection hidden="1"/>
    </xf>
    <xf numFmtId="2" fontId="7" fillId="2" borderId="10" xfId="0" applyNumberFormat="1" applyFont="1" applyFill="1" applyBorder="1" applyAlignment="1" applyProtection="1">
      <alignment horizontal="center" vertical="center"/>
      <protection hidden="1"/>
    </xf>
    <xf numFmtId="0" fontId="0" fillId="0" borderId="49" xfId="0" applyBorder="1" applyAlignment="1" applyProtection="1">
      <alignment vertical="center" wrapText="1"/>
      <protection hidden="1"/>
    </xf>
    <xf numFmtId="0" fontId="0" fillId="0" borderId="50" xfId="0" applyBorder="1" applyAlignment="1" applyProtection="1">
      <alignment vertical="center" wrapText="1"/>
      <protection hidden="1"/>
    </xf>
    <xf numFmtId="0" fontId="1" fillId="0" borderId="12" xfId="0" applyFont="1" applyBorder="1" applyAlignment="1" applyProtection="1">
      <alignment horizontal="center" vertical="center" wrapText="1"/>
      <protection hidden="1"/>
    </xf>
    <xf numFmtId="4" fontId="0" fillId="0" borderId="40" xfId="0" applyNumberFormat="1" applyBorder="1" applyAlignment="1" applyProtection="1">
      <alignment horizontal="center" vertical="center"/>
      <protection hidden="1"/>
    </xf>
    <xf numFmtId="2" fontId="2" fillId="2" borderId="9" xfId="0" applyNumberFormat="1"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wrapText="1"/>
      <protection hidden="1"/>
    </xf>
    <xf numFmtId="0" fontId="0" fillId="4" borderId="150" xfId="0" applyFill="1" applyBorder="1" applyAlignment="1" applyProtection="1">
      <alignment horizontal="center"/>
      <protection locked="0"/>
    </xf>
    <xf numFmtId="0" fontId="0" fillId="10" borderId="0" xfId="0" applyFill="1" applyProtection="1">
      <protection locked="0"/>
    </xf>
    <xf numFmtId="0" fontId="19" fillId="0" borderId="12" xfId="0" applyFont="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11" fillId="0" borderId="9" xfId="0" applyFont="1" applyBorder="1" applyAlignment="1" applyProtection="1">
      <alignment horizontal="center"/>
      <protection locked="0"/>
    </xf>
    <xf numFmtId="0" fontId="11" fillId="0" borderId="0" xfId="0" applyFont="1" applyAlignment="1" applyProtection="1">
      <alignment horizontal="center"/>
      <protection locked="0"/>
    </xf>
    <xf numFmtId="0" fontId="0" fillId="10" borderId="2" xfId="0" applyFill="1" applyBorder="1" applyAlignment="1" applyProtection="1">
      <alignment horizontal="center"/>
      <protection locked="0"/>
    </xf>
    <xf numFmtId="0" fontId="0" fillId="0" borderId="2"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vertical="center"/>
      <protection locked="0"/>
    </xf>
    <xf numFmtId="0" fontId="0" fillId="0" borderId="12" xfId="0" applyBorder="1" applyAlignment="1" applyProtection="1">
      <alignment horizontal="center" vertical="center"/>
      <protection locked="0"/>
    </xf>
    <xf numFmtId="9" fontId="0" fillId="8" borderId="12" xfId="2" applyFont="1" applyFill="1" applyBorder="1" applyAlignment="1" applyProtection="1">
      <alignment horizontal="center" vertical="center"/>
      <protection locked="0"/>
    </xf>
    <xf numFmtId="2"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18" fillId="10" borderId="0" xfId="0" applyFont="1" applyFill="1" applyAlignment="1" applyProtection="1">
      <alignment vertical="center"/>
      <protection locked="0"/>
    </xf>
    <xf numFmtId="0" fontId="1" fillId="0" borderId="19" xfId="0" applyFont="1" applyBorder="1" applyAlignment="1" applyProtection="1">
      <alignment horizontal="center" vertical="center"/>
      <protection locked="0"/>
    </xf>
    <xf numFmtId="0" fontId="11" fillId="0" borderId="4" xfId="0" applyFont="1" applyBorder="1" applyAlignment="1" applyProtection="1">
      <alignment horizontal="center"/>
      <protection locked="0"/>
    </xf>
    <xf numFmtId="10" fontId="0" fillId="10" borderId="0" xfId="0" applyNumberFormat="1" applyFill="1" applyProtection="1">
      <protection locked="0"/>
    </xf>
    <xf numFmtId="0" fontId="0" fillId="23" borderId="3" xfId="0" applyFill="1" applyBorder="1" applyProtection="1">
      <protection locked="0"/>
    </xf>
    <xf numFmtId="0" fontId="0" fillId="23" borderId="4" xfId="0" applyFill="1" applyBorder="1" applyProtection="1">
      <protection locked="0"/>
    </xf>
    <xf numFmtId="0" fontId="0" fillId="23" borderId="5"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20"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12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22"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28"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30"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10" borderId="2" xfId="0" applyFill="1" applyBorder="1" applyProtection="1">
      <protection locked="0"/>
    </xf>
    <xf numFmtId="0" fontId="0" fillId="0" borderId="0" xfId="0" applyAlignment="1" applyProtection="1">
      <alignment horizontal="left"/>
      <protection locked="0"/>
    </xf>
    <xf numFmtId="0" fontId="0" fillId="10" borderId="0" xfId="0" applyFill="1" applyAlignment="1" applyProtection="1">
      <alignment horizontal="left"/>
      <protection locked="0"/>
    </xf>
    <xf numFmtId="0" fontId="11" fillId="10" borderId="0" xfId="0" applyFont="1" applyFill="1" applyAlignment="1" applyProtection="1">
      <alignment horizontal="left" vertical="center"/>
      <protection locked="0"/>
    </xf>
    <xf numFmtId="0" fontId="2" fillId="5" borderId="0" xfId="0" quotePrefix="1" applyFont="1" applyFill="1" applyAlignment="1" applyProtection="1">
      <alignment vertical="center"/>
      <protection locked="0"/>
    </xf>
    <xf numFmtId="16" fontId="0" fillId="10" borderId="0" xfId="0" applyNumberFormat="1" applyFill="1" applyProtection="1">
      <protection locked="0"/>
    </xf>
    <xf numFmtId="0" fontId="0" fillId="0" borderId="19" xfId="0" applyBorder="1" applyAlignment="1">
      <alignment horizontal="center"/>
    </xf>
    <xf numFmtId="0" fontId="2" fillId="2" borderId="19" xfId="0" applyFont="1" applyFill="1" applyBorder="1" applyAlignment="1">
      <alignment vertical="center" wrapText="1"/>
    </xf>
    <xf numFmtId="0" fontId="0" fillId="0" borderId="19" xfId="0" applyBorder="1" applyAlignment="1" applyProtection="1">
      <alignment horizontal="center"/>
      <protection hidden="1"/>
    </xf>
    <xf numFmtId="0" fontId="52"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9" fillId="0" borderId="12" xfId="0" applyFont="1" applyBorder="1" applyAlignment="1" applyProtection="1">
      <alignment horizontal="center" vertical="center"/>
      <protection hidden="1"/>
    </xf>
    <xf numFmtId="0" fontId="0" fillId="10" borderId="1" xfId="0" applyFill="1" applyBorder="1" applyProtection="1">
      <protection hidden="1"/>
    </xf>
    <xf numFmtId="0" fontId="0" fillId="0" borderId="12" xfId="0" applyBorder="1" applyAlignment="1" applyProtection="1">
      <alignment horizontal="center"/>
      <protection hidden="1"/>
    </xf>
    <xf numFmtId="0" fontId="52" fillId="0" borderId="12" xfId="0" applyFont="1" applyBorder="1" applyAlignment="1" applyProtection="1">
      <alignment horizontal="center"/>
      <protection hidden="1"/>
    </xf>
    <xf numFmtId="2" fontId="0" fillId="0" borderId="19"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2" borderId="19" xfId="0" applyFont="1" applyFill="1" applyBorder="1" applyAlignment="1" applyProtection="1">
      <alignment vertical="center" wrapText="1"/>
      <protection hidden="1"/>
    </xf>
    <xf numFmtId="9" fontId="0" fillId="10" borderId="12" xfId="2"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2" fontId="0" fillId="0" borderId="19" xfId="0" applyNumberFormat="1" applyBorder="1" applyAlignment="1" applyProtection="1">
      <alignment horizontal="center" vertical="center" wrapText="1"/>
      <protection hidden="1"/>
    </xf>
    <xf numFmtId="0" fontId="0" fillId="10" borderId="2" xfId="0" applyFill="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9" fontId="0" fillId="0" borderId="19" xfId="2" applyFont="1" applyBorder="1" applyAlignment="1" applyProtection="1">
      <alignment horizontal="center" vertical="center"/>
      <protection hidden="1"/>
    </xf>
    <xf numFmtId="9" fontId="0" fillId="0" borderId="12" xfId="2" applyFont="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2" fillId="2" borderId="9" xfId="0" applyFont="1" applyFill="1" applyBorder="1"/>
    <xf numFmtId="0" fontId="2" fillId="10" borderId="4" xfId="0" applyFont="1" applyFill="1" applyBorder="1"/>
    <xf numFmtId="0" fontId="7" fillId="0" borderId="9" xfId="0" applyFont="1" applyBorder="1" applyAlignment="1">
      <alignment horizontal="left"/>
    </xf>
    <xf numFmtId="0" fontId="7" fillId="0" borderId="0" xfId="0" applyFont="1" applyAlignment="1">
      <alignment horizontal="left"/>
    </xf>
    <xf numFmtId="0" fontId="53" fillId="0" borderId="0" xfId="0" applyFont="1" applyAlignment="1">
      <alignment horizontal="left" vertical="center"/>
    </xf>
    <xf numFmtId="0" fontId="2" fillId="10" borderId="0" xfId="0" applyFont="1" applyFill="1"/>
    <xf numFmtId="0" fontId="2" fillId="2" borderId="19" xfId="0" applyFont="1" applyFill="1" applyBorder="1" applyAlignment="1">
      <alignment vertical="center"/>
    </xf>
    <xf numFmtId="0" fontId="0" fillId="10" borderId="0" xfId="0" applyFill="1"/>
    <xf numFmtId="0" fontId="2" fillId="2" borderId="0" xfId="0" applyFont="1" applyFill="1" applyAlignment="1">
      <alignment vertical="center" wrapText="1"/>
    </xf>
    <xf numFmtId="0" fontId="2" fillId="0" borderId="0" xfId="0" applyFont="1" applyAlignment="1">
      <alignment vertical="center"/>
    </xf>
    <xf numFmtId="0" fontId="2" fillId="10" borderId="19" xfId="0" applyFont="1" applyFill="1" applyBorder="1" applyAlignment="1">
      <alignment vertical="center" wrapText="1"/>
    </xf>
    <xf numFmtId="0" fontId="2" fillId="10" borderId="9" xfId="0" applyFont="1" applyFill="1" applyBorder="1" applyAlignment="1">
      <alignment vertical="center" wrapText="1"/>
    </xf>
    <xf numFmtId="0" fontId="2" fillId="2" borderId="1" xfId="0" applyFont="1" applyFill="1" applyBorder="1" applyAlignment="1">
      <alignment vertical="center" wrapText="1"/>
    </xf>
    <xf numFmtId="0" fontId="7" fillId="0" borderId="4" xfId="0" applyFont="1" applyBorder="1" applyAlignment="1">
      <alignment horizontal="left"/>
    </xf>
    <xf numFmtId="0" fontId="61" fillId="0" borderId="2" xfId="0" applyFont="1" applyBorder="1" applyAlignment="1" applyProtection="1">
      <alignment horizontal="center" vertical="center" wrapText="1"/>
      <protection hidden="1"/>
    </xf>
    <xf numFmtId="0" fontId="1" fillId="3" borderId="12" xfId="0" applyFont="1" applyFill="1" applyBorder="1" applyAlignment="1" applyProtection="1">
      <alignment horizontal="center" vertical="center"/>
      <protection locked="0"/>
    </xf>
    <xf numFmtId="2" fontId="0" fillId="3" borderId="1" xfId="0" applyNumberFormat="1" applyFill="1" applyBorder="1" applyAlignment="1" applyProtection="1">
      <alignment horizontal="center"/>
      <protection locked="0"/>
    </xf>
    <xf numFmtId="0" fontId="0" fillId="3" borderId="144" xfId="0" applyFill="1" applyBorder="1" applyAlignment="1" applyProtection="1">
      <alignment horizontal="left" indent="1"/>
      <protection locked="0"/>
    </xf>
    <xf numFmtId="0" fontId="0" fillId="3" borderId="36" xfId="0" applyFill="1" applyBorder="1" applyAlignment="1" applyProtection="1">
      <alignment horizontal="left" indent="1"/>
      <protection locked="0"/>
    </xf>
    <xf numFmtId="0" fontId="0" fillId="3" borderId="37" xfId="0" applyFill="1" applyBorder="1" applyAlignment="1" applyProtection="1">
      <alignment horizontal="left" indent="1"/>
      <protection locked="0"/>
    </xf>
    <xf numFmtId="0" fontId="0" fillId="3" borderId="145" xfId="0" applyFill="1" applyBorder="1" applyAlignment="1" applyProtection="1">
      <alignment horizontal="center" vertical="center"/>
      <protection locked="0"/>
    </xf>
    <xf numFmtId="0" fontId="0" fillId="3" borderId="147"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33"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34" xfId="0" applyFill="1" applyBorder="1" applyAlignment="1" applyProtection="1">
      <alignment horizontal="center" vertical="center"/>
      <protection locked="0"/>
    </xf>
    <xf numFmtId="0" fontId="0" fillId="3" borderId="151" xfId="0"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7" xfId="0" applyBorder="1" applyAlignment="1">
      <alignment horizontal="center" vertical="center"/>
    </xf>
    <xf numFmtId="0" fontId="9" fillId="0" borderId="11" xfId="1" applyFill="1" applyBorder="1" applyAlignment="1">
      <alignment horizontal="center" vertical="center"/>
    </xf>
    <xf numFmtId="14" fontId="0" fillId="0" borderId="0" xfId="0" applyNumberFormat="1" applyAlignment="1">
      <alignment horizontal="center" vertical="center"/>
    </xf>
    <xf numFmtId="0" fontId="9" fillId="10" borderId="11" xfId="1" applyFill="1" applyBorder="1" applyAlignment="1">
      <alignment horizontal="center" vertical="center"/>
    </xf>
    <xf numFmtId="0" fontId="9" fillId="0" borderId="53" xfId="1" applyBorder="1" applyAlignment="1">
      <alignment horizontal="center" vertical="center"/>
    </xf>
    <xf numFmtId="2" fontId="0" fillId="0" borderId="53" xfId="0" applyNumberFormat="1" applyBorder="1" applyAlignment="1">
      <alignment horizontal="center" vertical="center"/>
    </xf>
    <xf numFmtId="0" fontId="0" fillId="0" borderId="26" xfId="0" applyBorder="1" applyAlignment="1">
      <alignment vertical="center" wrapText="1"/>
    </xf>
    <xf numFmtId="0" fontId="0" fillId="0" borderId="22" xfId="0" applyBorder="1" applyAlignment="1">
      <alignment vertical="center"/>
    </xf>
    <xf numFmtId="0" fontId="0" fillId="0" borderId="23" xfId="0" applyBorder="1" applyAlignment="1">
      <alignment vertical="center"/>
    </xf>
    <xf numFmtId="165" fontId="0" fillId="0" borderId="46" xfId="0" applyNumberFormat="1" applyBorder="1" applyAlignment="1">
      <alignment horizontal="center" vertical="center"/>
    </xf>
    <xf numFmtId="0" fontId="64" fillId="10" borderId="0" xfId="0" applyFont="1" applyFill="1" applyProtection="1">
      <protection locked="0"/>
    </xf>
    <xf numFmtId="0" fontId="2" fillId="2" borderId="0" xfId="0" applyFont="1" applyFill="1" applyAlignment="1">
      <alignment vertical="center"/>
    </xf>
    <xf numFmtId="0" fontId="0" fillId="3" borderId="1" xfId="0" applyFill="1" applyBorder="1" applyAlignment="1" applyProtection="1">
      <alignment horizontal="center" vertical="center"/>
      <protection locked="0"/>
    </xf>
    <xf numFmtId="0" fontId="65" fillId="2" borderId="0" xfId="0" applyFont="1" applyFill="1" applyAlignment="1">
      <alignment vertical="center" wrapText="1"/>
    </xf>
    <xf numFmtId="0" fontId="52" fillId="0" borderId="2" xfId="0" applyFont="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8" borderId="12" xfId="2"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3" borderId="21" xfId="0" applyFill="1" applyBorder="1" applyAlignment="1" applyProtection="1">
      <alignment horizontal="center" vertical="center"/>
      <protection locked="0"/>
    </xf>
    <xf numFmtId="165" fontId="0" fillId="3" borderId="4"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2" fontId="0" fillId="3" borderId="4" xfId="0" applyNumberFormat="1" applyFill="1" applyBorder="1" applyAlignment="1" applyProtection="1">
      <alignment horizontal="center" vertical="center"/>
      <protection locked="0"/>
    </xf>
    <xf numFmtId="165" fontId="0" fillId="3" borderId="0" xfId="0" applyNumberFormat="1" applyFill="1" applyAlignment="1" applyProtection="1">
      <alignment horizontal="center" vertical="center"/>
      <protection locked="0"/>
    </xf>
    <xf numFmtId="1" fontId="0" fillId="3" borderId="0" xfId="0" applyNumberFormat="1" applyFill="1" applyAlignment="1" applyProtection="1">
      <alignment horizontal="center" vertical="center"/>
      <protection locked="0"/>
    </xf>
    <xf numFmtId="2" fontId="0" fillId="3" borderId="0" xfId="0" applyNumberFormat="1" applyFill="1" applyAlignment="1" applyProtection="1">
      <alignment horizontal="center" vertical="center"/>
      <protection locked="0"/>
    </xf>
    <xf numFmtId="165" fontId="0" fillId="3" borderId="9" xfId="0" applyNumberFormat="1" applyFill="1" applyBorder="1" applyAlignment="1" applyProtection="1">
      <alignment horizontal="center" vertical="center"/>
      <protection locked="0"/>
    </xf>
    <xf numFmtId="1" fontId="0" fillId="3" borderId="9"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0" fontId="0" fillId="3" borderId="12" xfId="0" applyFill="1" applyBorder="1" applyAlignment="1" applyProtection="1">
      <alignment horizontal="center"/>
      <protection locked="0"/>
    </xf>
    <xf numFmtId="0" fontId="14" fillId="0" borderId="0" xfId="4" applyProtection="1">
      <protection hidden="1"/>
    </xf>
    <xf numFmtId="164" fontId="14" fillId="0" borderId="0" xfId="4" applyNumberFormat="1" applyAlignment="1" applyProtection="1">
      <alignment horizontal="center" vertical="center"/>
      <protection hidden="1"/>
    </xf>
    <xf numFmtId="164" fontId="14" fillId="0" borderId="0" xfId="4" applyNumberFormat="1" applyProtection="1">
      <protection hidden="1"/>
    </xf>
    <xf numFmtId="0" fontId="14" fillId="0" borderId="0" xfId="0" applyFont="1" applyProtection="1">
      <protection hidden="1"/>
    </xf>
    <xf numFmtId="0" fontId="11" fillId="11" borderId="13" xfId="4" applyFont="1" applyFill="1" applyBorder="1" applyAlignment="1" applyProtection="1">
      <alignment horizontal="left" vertical="center" indent="1"/>
      <protection hidden="1"/>
    </xf>
    <xf numFmtId="0" fontId="11" fillId="11" borderId="15" xfId="4" applyFont="1" applyFill="1" applyBorder="1" applyAlignment="1" applyProtection="1">
      <alignment horizontal="left" vertical="center" indent="1"/>
      <protection hidden="1"/>
    </xf>
    <xf numFmtId="0" fontId="11" fillId="11" borderId="17" xfId="4" applyFont="1" applyFill="1" applyBorder="1" applyAlignment="1" applyProtection="1">
      <alignment horizontal="left" vertical="center" indent="1"/>
      <protection hidden="1"/>
    </xf>
    <xf numFmtId="0" fontId="1" fillId="0" borderId="0" xfId="4" applyFont="1" applyProtection="1">
      <protection hidden="1"/>
    </xf>
    <xf numFmtId="0" fontId="11" fillId="11" borderId="34"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2" fontId="14" fillId="0" borderId="0" xfId="4" applyNumberFormat="1" applyAlignment="1" applyProtection="1">
      <alignment horizontal="center" vertical="center"/>
      <protection hidden="1"/>
    </xf>
    <xf numFmtId="0" fontId="29" fillId="0" borderId="0" xfId="0" applyFont="1" applyProtection="1">
      <protection hidden="1"/>
    </xf>
    <xf numFmtId="0" fontId="8" fillId="2" borderId="30" xfId="0" applyFont="1" applyFill="1" applyBorder="1" applyAlignment="1" applyProtection="1">
      <alignment vertical="center" wrapText="1"/>
      <protection hidden="1"/>
    </xf>
    <xf numFmtId="0" fontId="8" fillId="2" borderId="31" xfId="0" applyFont="1" applyFill="1" applyBorder="1" applyAlignment="1" applyProtection="1">
      <alignment vertical="center" wrapText="1"/>
      <protection hidden="1"/>
    </xf>
    <xf numFmtId="0" fontId="9" fillId="0" borderId="0" xfId="1" applyProtection="1">
      <protection hidden="1"/>
    </xf>
    <xf numFmtId="0" fontId="14" fillId="0" borderId="0" xfId="0" applyFont="1" applyAlignment="1" applyProtection="1">
      <alignment wrapText="1"/>
      <protection hidden="1"/>
    </xf>
    <xf numFmtId="0" fontId="11" fillId="0" borderId="15" xfId="4" applyFont="1" applyBorder="1" applyAlignment="1" applyProtection="1">
      <alignment horizontal="left" vertical="center" indent="1"/>
      <protection hidden="1"/>
    </xf>
    <xf numFmtId="164" fontId="14" fillId="0" borderId="54" xfId="4" applyNumberFormat="1" applyBorder="1" applyAlignment="1" applyProtection="1">
      <alignment horizontal="center" vertical="center"/>
      <protection hidden="1"/>
    </xf>
    <xf numFmtId="0" fontId="7" fillId="11" borderId="15" xfId="4" applyFont="1" applyFill="1" applyBorder="1" applyAlignment="1" applyProtection="1">
      <alignment horizontal="left" vertical="center" indent="1"/>
      <protection hidden="1"/>
    </xf>
    <xf numFmtId="2" fontId="1" fillId="11" borderId="54" xfId="4" applyNumberFormat="1" applyFont="1" applyFill="1" applyBorder="1" applyAlignment="1" applyProtection="1">
      <alignment horizontal="center" vertical="center"/>
      <protection hidden="1"/>
    </xf>
    <xf numFmtId="0" fontId="7" fillId="11" borderId="113" xfId="4" applyFont="1" applyFill="1" applyBorder="1" applyAlignment="1" applyProtection="1">
      <alignment horizontal="left" vertical="center" indent="1"/>
      <protection hidden="1"/>
    </xf>
    <xf numFmtId="2" fontId="1" fillId="11" borderId="47" xfId="4" applyNumberFormat="1" applyFont="1" applyFill="1" applyBorder="1" applyAlignment="1" applyProtection="1">
      <alignment horizontal="center" vertical="center"/>
      <protection hidden="1"/>
    </xf>
    <xf numFmtId="0" fontId="14" fillId="0" borderId="0" xfId="4" applyAlignment="1" applyProtection="1">
      <alignment horizontal="left" vertical="center" indent="1"/>
      <protection hidden="1"/>
    </xf>
    <xf numFmtId="2" fontId="14" fillId="0" borderId="0" xfId="4" applyNumberFormat="1" applyProtection="1">
      <protection hidden="1"/>
    </xf>
    <xf numFmtId="0" fontId="11" fillId="2" borderId="0" xfId="0" applyFont="1" applyFill="1" applyProtection="1">
      <protection hidden="1"/>
    </xf>
    <xf numFmtId="0" fontId="7" fillId="2" borderId="0" xfId="0" applyFont="1" applyFill="1" applyProtection="1">
      <protection hidden="1"/>
    </xf>
    <xf numFmtId="0" fontId="11" fillId="0" borderId="0" xfId="4" applyFont="1" applyProtection="1">
      <protection hidden="1"/>
    </xf>
    <xf numFmtId="164" fontId="11" fillId="0" borderId="0" xfId="4" applyNumberFormat="1" applyFont="1" applyAlignment="1" applyProtection="1">
      <alignment horizontal="center" vertical="center"/>
      <protection hidden="1"/>
    </xf>
    <xf numFmtId="164" fontId="11" fillId="0" borderId="0" xfId="4" applyNumberFormat="1" applyFont="1" applyProtection="1">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164" fontId="11" fillId="0" borderId="0" xfId="0" applyNumberFormat="1" applyFont="1" applyAlignment="1" applyProtection="1">
      <alignment horizontal="center" vertical="center"/>
      <protection hidden="1"/>
    </xf>
    <xf numFmtId="164" fontId="11" fillId="0" borderId="0" xfId="0" applyNumberFormat="1" applyFont="1" applyAlignment="1" applyProtection="1">
      <alignment vertical="center"/>
      <protection hidden="1"/>
    </xf>
    <xf numFmtId="0" fontId="11" fillId="0" borderId="63" xfId="0" applyFont="1" applyBorder="1" applyAlignment="1" applyProtection="1">
      <alignment vertical="center"/>
      <protection hidden="1"/>
    </xf>
    <xf numFmtId="0" fontId="11" fillId="0" borderId="64" xfId="0" applyFont="1" applyBorder="1" applyAlignment="1" applyProtection="1">
      <alignment vertical="center"/>
      <protection hidden="1"/>
    </xf>
    <xf numFmtId="164" fontId="11" fillId="0" borderId="64" xfId="0" applyNumberFormat="1" applyFont="1" applyBorder="1" applyAlignment="1" applyProtection="1">
      <alignment horizontal="center" vertical="center"/>
      <protection hidden="1"/>
    </xf>
    <xf numFmtId="164" fontId="11" fillId="0" borderId="64" xfId="0" applyNumberFormat="1" applyFont="1" applyBorder="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justify" vertical="center" wrapText="1"/>
      <protection hidden="1"/>
    </xf>
    <xf numFmtId="164" fontId="11" fillId="0" borderId="0" xfId="0" applyNumberFormat="1" applyFont="1" applyAlignment="1" applyProtection="1">
      <alignment horizontal="center" vertical="center" wrapText="1"/>
      <protection hidden="1"/>
    </xf>
    <xf numFmtId="164" fontId="11" fillId="0" borderId="0" xfId="0" applyNumberFormat="1" applyFont="1" applyAlignment="1" applyProtection="1">
      <alignment horizontal="justify" vertical="center" wrapText="1"/>
      <protection hidden="1"/>
    </xf>
    <xf numFmtId="164" fontId="11" fillId="0" borderId="0" xfId="0" applyNumberFormat="1" applyFont="1" applyAlignment="1" applyProtection="1">
      <alignment horizontal="left" vertical="center"/>
      <protection hidden="1"/>
    </xf>
    <xf numFmtId="0" fontId="11" fillId="0" borderId="0" xfId="0" applyFont="1" applyAlignment="1" applyProtection="1">
      <alignment horizontal="right" vertical="top" wrapText="1"/>
      <protection hidden="1"/>
    </xf>
    <xf numFmtId="0" fontId="11" fillId="0" borderId="0" xfId="0" applyFont="1" applyAlignment="1" applyProtection="1">
      <alignment vertical="top" wrapText="1"/>
      <protection hidden="1"/>
    </xf>
    <xf numFmtId="0" fontId="11" fillId="0" borderId="0" xfId="0" applyFont="1" applyProtection="1">
      <protection hidden="1"/>
    </xf>
    <xf numFmtId="0" fontId="0" fillId="3" borderId="14" xfId="0" applyFill="1" applyBorder="1" applyAlignment="1" applyProtection="1">
      <alignment horizontal="center" vertical="center"/>
      <protection locked="0"/>
    </xf>
    <xf numFmtId="0" fontId="0" fillId="10" borderId="53" xfId="0" applyFill="1" applyBorder="1" applyProtection="1">
      <protection locked="0"/>
    </xf>
    <xf numFmtId="9" fontId="0" fillId="0" borderId="12" xfId="2" applyFont="1" applyFill="1" applyBorder="1" applyAlignment="1" applyProtection="1">
      <alignment horizontal="center" vertical="center"/>
      <protection locked="0"/>
    </xf>
    <xf numFmtId="0" fontId="0" fillId="8" borderId="12" xfId="2" applyNumberFormat="1" applyFont="1" applyFill="1" applyBorder="1" applyAlignment="1" applyProtection="1">
      <alignment horizontal="center" vertical="center"/>
      <protection locked="0"/>
    </xf>
    <xf numFmtId="2" fontId="0" fillId="2" borderId="7" xfId="0" applyNumberFormat="1" applyFill="1" applyBorder="1" applyAlignment="1">
      <alignment horizontal="center" vertical="center"/>
    </xf>
    <xf numFmtId="2" fontId="0" fillId="2" borderId="10" xfId="0" applyNumberFormat="1" applyFill="1" applyBorder="1" applyAlignment="1">
      <alignment horizontal="center" vertical="center"/>
    </xf>
    <xf numFmtId="0" fontId="18" fillId="0" borderId="4" xfId="0" applyFont="1" applyBorder="1" applyAlignment="1" applyProtection="1">
      <alignment vertical="center"/>
      <protection locked="0"/>
    </xf>
    <xf numFmtId="0" fontId="2" fillId="5" borderId="0" xfId="0" quotePrefix="1" applyFont="1" applyFill="1" applyAlignment="1" applyProtection="1">
      <alignment vertical="center" wrapText="1"/>
      <protection hidden="1"/>
    </xf>
    <xf numFmtId="0" fontId="0" fillId="2" borderId="55"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8" xfId="0" applyFill="1" applyBorder="1" applyAlignment="1" applyProtection="1">
      <alignment horizontal="center"/>
      <protection hidden="1"/>
    </xf>
    <xf numFmtId="0" fontId="0" fillId="2" borderId="52" xfId="0" applyFill="1" applyBorder="1" applyAlignment="1" applyProtection="1">
      <alignment horizontal="center"/>
      <protection hidden="1"/>
    </xf>
    <xf numFmtId="0" fontId="0" fillId="2" borderId="55" xfId="0" applyFill="1" applyBorder="1" applyAlignment="1" applyProtection="1">
      <alignment horizontal="left" vertical="center"/>
      <protection hidden="1"/>
    </xf>
    <xf numFmtId="0" fontId="11" fillId="2" borderId="132" xfId="0"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0" fontId="11" fillId="2" borderId="11" xfId="0" applyFont="1" applyFill="1" applyBorder="1" applyAlignment="1" applyProtection="1">
      <alignment horizontal="center" vertical="center"/>
      <protection hidden="1"/>
    </xf>
    <xf numFmtId="0" fontId="0" fillId="8" borderId="12" xfId="2" applyNumberFormat="1" applyFont="1" applyFill="1" applyBorder="1" applyAlignment="1" applyProtection="1">
      <alignment horizontal="right" vertical="center"/>
      <protection locked="0"/>
    </xf>
    <xf numFmtId="0" fontId="52" fillId="10" borderId="0" xfId="0" applyFont="1" applyFill="1" applyProtection="1">
      <protection locked="0"/>
    </xf>
    <xf numFmtId="0" fontId="66" fillId="10" borderId="0" xfId="0" applyFont="1" applyFill="1" applyProtection="1">
      <protection locked="0"/>
    </xf>
    <xf numFmtId="0" fontId="0" fillId="3" borderId="1" xfId="0" applyFill="1" applyBorder="1" applyAlignment="1" applyProtection="1">
      <alignment horizontal="left" vertical="center"/>
      <protection locked="0"/>
    </xf>
    <xf numFmtId="0" fontId="2" fillId="2" borderId="1" xfId="0" applyFont="1" applyFill="1" applyBorder="1" applyAlignment="1">
      <alignment vertical="center"/>
    </xf>
    <xf numFmtId="0" fontId="0" fillId="10" borderId="0" xfId="2" applyNumberFormat="1" applyFont="1" applyFill="1" applyBorder="1" applyAlignment="1" applyProtection="1">
      <alignment horizontal="right" vertical="center"/>
      <protection locked="0"/>
    </xf>
    <xf numFmtId="0" fontId="52" fillId="10" borderId="0" xfId="2" applyNumberFormat="1" applyFont="1" applyFill="1" applyBorder="1" applyAlignment="1" applyProtection="1">
      <alignment horizontal="left" vertical="center"/>
      <protection locked="0"/>
    </xf>
    <xf numFmtId="9" fontId="0" fillId="8" borderId="21" xfId="2" applyFont="1"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65" fillId="10" borderId="0" xfId="0" applyFont="1" applyFill="1" applyAlignment="1">
      <alignment vertical="center" wrapText="1"/>
    </xf>
    <xf numFmtId="2" fontId="0" fillId="10" borderId="19" xfId="0" applyNumberFormat="1" applyFill="1" applyBorder="1" applyAlignment="1" applyProtection="1">
      <alignment horizontal="left" vertical="center"/>
      <protection hidden="1"/>
    </xf>
    <xf numFmtId="1" fontId="0" fillId="0" borderId="2" xfId="0" applyNumberFormat="1" applyBorder="1" applyAlignment="1" applyProtection="1">
      <alignment horizontal="center" vertical="center"/>
      <protection hidden="1"/>
    </xf>
    <xf numFmtId="0" fontId="2" fillId="5" borderId="0" xfId="0" applyFont="1" applyFill="1" applyAlignment="1">
      <alignment horizontal="left" vertical="center" wrapText="1"/>
    </xf>
    <xf numFmtId="0" fontId="2" fillId="5" borderId="0" xfId="0" quotePrefix="1" applyFont="1" applyFill="1" applyAlignment="1">
      <alignment vertical="center"/>
    </xf>
    <xf numFmtId="0" fontId="0" fillId="8" borderId="2" xfId="0" applyFill="1" applyBorder="1" applyAlignment="1" applyProtection="1">
      <alignment horizontal="center" vertical="center"/>
      <protection hidden="1"/>
    </xf>
    <xf numFmtId="2" fontId="67" fillId="0" borderId="2" xfId="0" applyNumberFormat="1" applyFont="1" applyBorder="1" applyAlignment="1" applyProtection="1">
      <alignment horizontal="left" vertical="center"/>
      <protection locked="0"/>
    </xf>
    <xf numFmtId="2" fontId="52" fillId="0" borderId="2" xfId="0" applyNumberFormat="1" applyFont="1" applyBorder="1" applyAlignment="1" applyProtection="1">
      <alignment horizontal="center" vertical="center"/>
      <protection hidden="1"/>
    </xf>
    <xf numFmtId="2" fontId="0" fillId="0" borderId="2" xfId="0" applyNumberFormat="1" applyBorder="1" applyAlignment="1" applyProtection="1">
      <alignment horizontal="center" vertical="center" wrapText="1"/>
      <protection hidden="1"/>
    </xf>
    <xf numFmtId="0" fontId="0" fillId="8" borderId="52" xfId="0" applyFill="1" applyBorder="1" applyAlignment="1">
      <alignment horizontal="center"/>
    </xf>
    <xf numFmtId="0" fontId="13" fillId="0" borderId="0" xfId="0" applyFont="1" applyAlignment="1">
      <alignment horizontal="center"/>
    </xf>
    <xf numFmtId="0" fontId="0" fillId="2" borderId="47" xfId="0" applyFill="1" applyBorder="1" applyAlignment="1">
      <alignment vertical="center"/>
    </xf>
    <xf numFmtId="0" fontId="0" fillId="2" borderId="48" xfId="0" applyFill="1" applyBorder="1" applyAlignment="1">
      <alignment horizontal="center" vertical="center"/>
    </xf>
    <xf numFmtId="0" fontId="16" fillId="0" borderId="11" xfId="0" applyFont="1" applyBorder="1" applyAlignment="1">
      <alignment vertical="center"/>
    </xf>
    <xf numFmtId="9" fontId="16" fillId="0" borderId="11" xfId="2" applyFont="1" applyBorder="1" applyAlignment="1" applyProtection="1">
      <alignment vertical="center"/>
    </xf>
    <xf numFmtId="9" fontId="16" fillId="0" borderId="0" xfId="2" applyFont="1" applyBorder="1" applyProtection="1"/>
    <xf numFmtId="0" fontId="15" fillId="0" borderId="11" xfId="0" applyFont="1" applyBorder="1" applyAlignment="1">
      <alignment vertical="center"/>
    </xf>
    <xf numFmtId="9" fontId="15" fillId="0" borderId="11" xfId="2" applyFont="1" applyBorder="1" applyAlignment="1" applyProtection="1">
      <alignment vertical="center"/>
    </xf>
    <xf numFmtId="9" fontId="15" fillId="0" borderId="0" xfId="2" applyFont="1" applyBorder="1" applyProtection="1"/>
    <xf numFmtId="0" fontId="0" fillId="0" borderId="11" xfId="0" applyBorder="1" applyAlignment="1">
      <alignment vertical="center"/>
    </xf>
    <xf numFmtId="9" fontId="0" fillId="0" borderId="11" xfId="2" applyFont="1" applyBorder="1" applyAlignment="1" applyProtection="1">
      <alignment vertical="center"/>
    </xf>
    <xf numFmtId="9" fontId="0" fillId="0" borderId="0" xfId="2" applyFont="1" applyBorder="1" applyProtection="1"/>
    <xf numFmtId="0" fontId="0" fillId="0" borderId="27" xfId="0" applyBorder="1" applyAlignment="1">
      <alignment vertical="center"/>
    </xf>
    <xf numFmtId="164" fontId="0" fillId="0" borderId="11" xfId="0" applyNumberFormat="1" applyBorder="1" applyAlignment="1">
      <alignment vertical="center"/>
    </xf>
    <xf numFmtId="0" fontId="0" fillId="0" borderId="6" xfId="0" applyBorder="1" applyAlignment="1" applyProtection="1">
      <alignment vertical="center"/>
      <protection hidden="1"/>
    </xf>
    <xf numFmtId="0" fontId="2" fillId="2" borderId="9" xfId="0" applyFont="1" applyFill="1" applyBorder="1" applyAlignment="1" applyProtection="1">
      <alignment horizontal="right" vertical="center"/>
      <protection hidden="1"/>
    </xf>
    <xf numFmtId="14" fontId="56" fillId="10" borderId="0" xfId="0" applyNumberFormat="1" applyFont="1" applyFill="1" applyAlignment="1" applyProtection="1">
      <alignment horizontal="center" vertical="center"/>
      <protection hidden="1"/>
    </xf>
    <xf numFmtId="9" fontId="0" fillId="3" borderId="145" xfId="2" applyFont="1" applyFill="1" applyBorder="1" applyAlignment="1" applyProtection="1">
      <alignment horizontal="center" vertical="center"/>
      <protection locked="0"/>
    </xf>
    <xf numFmtId="9" fontId="0" fillId="3" borderId="145" xfId="2" applyFont="1" applyFill="1" applyBorder="1" applyAlignment="1" applyProtection="1">
      <alignment horizontal="center"/>
      <protection locked="0"/>
    </xf>
    <xf numFmtId="9" fontId="0" fillId="3" borderId="35" xfId="2" applyFont="1" applyFill="1" applyBorder="1" applyAlignment="1" applyProtection="1">
      <alignment horizontal="center" vertical="center"/>
      <protection locked="0"/>
    </xf>
    <xf numFmtId="9" fontId="0" fillId="3" borderId="35" xfId="2" applyFont="1" applyFill="1" applyBorder="1" applyAlignment="1" applyProtection="1">
      <alignment horizontal="center"/>
      <protection locked="0"/>
    </xf>
    <xf numFmtId="9" fontId="0" fillId="3" borderId="38" xfId="2" applyFont="1" applyFill="1" applyBorder="1" applyAlignment="1" applyProtection="1">
      <alignment horizontal="center" vertical="center"/>
      <protection locked="0"/>
    </xf>
    <xf numFmtId="9" fontId="0" fillId="3" borderId="38" xfId="2" applyFont="1" applyFill="1" applyBorder="1" applyAlignment="1" applyProtection="1">
      <alignment horizontal="center"/>
      <protection locked="0"/>
    </xf>
    <xf numFmtId="0" fontId="1" fillId="0" borderId="2" xfId="0" applyFont="1" applyBorder="1" applyAlignment="1">
      <alignment vertical="center" wrapText="1"/>
    </xf>
    <xf numFmtId="0" fontId="0" fillId="3" borderId="145" xfId="0" applyFill="1" applyBorder="1" applyAlignment="1" applyProtection="1">
      <alignment horizontal="left" wrapText="1"/>
      <protection locked="0"/>
    </xf>
    <xf numFmtId="0" fontId="0" fillId="3" borderId="35" xfId="0" applyFill="1" applyBorder="1" applyAlignment="1" applyProtection="1">
      <alignment horizontal="left" wrapText="1"/>
      <protection locked="0"/>
    </xf>
    <xf numFmtId="170" fontId="1" fillId="11" borderId="10" xfId="0" applyNumberFormat="1" applyFont="1" applyFill="1" applyBorder="1" applyAlignment="1">
      <alignment horizontal="center" vertical="center" wrapText="1"/>
    </xf>
    <xf numFmtId="0" fontId="1" fillId="11" borderId="8"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1" fillId="11" borderId="9" xfId="0" applyFont="1" applyFill="1" applyBorder="1" applyAlignment="1">
      <alignment horizontal="center" vertical="center" wrapText="1"/>
    </xf>
    <xf numFmtId="168" fontId="1" fillId="11" borderId="9" xfId="0" applyNumberFormat="1" applyFont="1" applyFill="1" applyBorder="1" applyAlignment="1">
      <alignment horizontal="center" vertical="center" wrapText="1"/>
    </xf>
    <xf numFmtId="9" fontId="1" fillId="11" borderId="9" xfId="2" applyFont="1" applyFill="1" applyBorder="1" applyAlignment="1">
      <alignment horizontal="center" vertical="center" wrapText="1"/>
    </xf>
    <xf numFmtId="0" fontId="1" fillId="0" borderId="0" xfId="0" applyFont="1" applyAlignment="1">
      <alignment horizontal="center"/>
    </xf>
    <xf numFmtId="0" fontId="1" fillId="0" borderId="149" xfId="0" applyFont="1" applyBorder="1" applyAlignment="1">
      <alignment horizontal="right" vertical="center" wrapText="1"/>
    </xf>
    <xf numFmtId="0" fontId="1" fillId="0" borderId="149" xfId="0" applyFont="1" applyBorder="1" applyAlignment="1">
      <alignment horizontal="center" vertical="center" wrapText="1"/>
    </xf>
    <xf numFmtId="171" fontId="0" fillId="0" borderId="149" xfId="3" applyNumberFormat="1" applyFont="1" applyBorder="1" applyAlignment="1">
      <alignment horizontal="right"/>
    </xf>
    <xf numFmtId="171" fontId="0" fillId="0" borderId="149" xfId="3" applyNumberFormat="1" applyFont="1" applyBorder="1"/>
    <xf numFmtId="171" fontId="0" fillId="0" borderId="149" xfId="3" applyNumberFormat="1" applyFont="1" applyBorder="1" applyAlignment="1">
      <alignment horizontal="center"/>
    </xf>
    <xf numFmtId="169" fontId="0" fillId="3" borderId="155" xfId="0" applyNumberFormat="1" applyFill="1" applyBorder="1" applyAlignment="1" applyProtection="1">
      <alignment horizontal="center" vertical="center"/>
      <protection locked="0"/>
    </xf>
    <xf numFmtId="169" fontId="0" fillId="3" borderId="133" xfId="0" applyNumberFormat="1" applyFill="1" applyBorder="1" applyAlignment="1" applyProtection="1">
      <alignment horizontal="center" vertical="center"/>
      <protection locked="0"/>
    </xf>
    <xf numFmtId="169" fontId="0" fillId="3" borderId="134" xfId="0" applyNumberFormat="1" applyFill="1" applyBorder="1" applyAlignment="1" applyProtection="1">
      <alignment horizontal="center" vertical="center"/>
      <protection locked="0"/>
    </xf>
    <xf numFmtId="0" fontId="0" fillId="0" borderId="144" xfId="0" applyBorder="1" applyAlignment="1">
      <alignment horizontal="left" vertical="center" indent="1"/>
    </xf>
    <xf numFmtId="0" fontId="0" fillId="0" borderId="36" xfId="0" applyBorder="1" applyAlignment="1">
      <alignment horizontal="left" vertical="center" indent="1"/>
    </xf>
    <xf numFmtId="171" fontId="1" fillId="27" borderId="149" xfId="3" applyNumberFormat="1" applyFont="1" applyFill="1" applyBorder="1" applyAlignment="1">
      <alignment vertical="center"/>
    </xf>
    <xf numFmtId="171" fontId="1" fillId="0" borderId="149" xfId="3" applyNumberFormat="1" applyFont="1" applyBorder="1" applyAlignment="1">
      <alignment horizontal="center" vertical="center"/>
    </xf>
    <xf numFmtId="170" fontId="1" fillId="11" borderId="0" xfId="0" applyNumberFormat="1" applyFont="1" applyFill="1" applyAlignment="1">
      <alignment horizontal="center" vertical="center" wrapText="1"/>
    </xf>
    <xf numFmtId="0" fontId="66" fillId="0" borderId="0" xfId="0" applyFont="1"/>
    <xf numFmtId="0" fontId="1" fillId="0" borderId="149" xfId="0" applyFont="1" applyBorder="1" applyAlignment="1">
      <alignment horizontal="center" wrapText="1"/>
    </xf>
    <xf numFmtId="171" fontId="0" fillId="0" borderId="154" xfId="3" applyNumberFormat="1" applyFont="1" applyBorder="1"/>
    <xf numFmtId="0" fontId="1" fillId="0" borderId="0" xfId="0" applyFont="1" applyAlignment="1">
      <alignment horizontal="right" vertical="center" wrapText="1"/>
    </xf>
    <xf numFmtId="0" fontId="1" fillId="0" borderId="0" xfId="0" applyFont="1" applyAlignment="1">
      <alignment horizontal="center" wrapText="1"/>
    </xf>
    <xf numFmtId="171" fontId="0" fillId="0" borderId="0" xfId="3" applyNumberFormat="1" applyFont="1" applyFill="1" applyBorder="1" applyAlignment="1">
      <alignment horizontal="right"/>
    </xf>
    <xf numFmtId="171" fontId="0" fillId="0" borderId="0" xfId="3" applyNumberFormat="1" applyFont="1" applyFill="1" applyBorder="1"/>
    <xf numFmtId="171" fontId="0" fillId="0" borderId="0" xfId="3" applyNumberFormat="1" applyFont="1" applyFill="1" applyBorder="1" applyAlignment="1">
      <alignment horizontal="center"/>
    </xf>
    <xf numFmtId="168" fontId="0" fillId="0" borderId="0" xfId="0" applyNumberFormat="1"/>
    <xf numFmtId="171" fontId="1" fillId="0" borderId="0" xfId="3" applyNumberFormat="1" applyFont="1" applyFill="1" applyBorder="1" applyAlignment="1">
      <alignment vertical="center"/>
    </xf>
    <xf numFmtId="171" fontId="1" fillId="0" borderId="0" xfId="3" applyNumberFormat="1" applyFont="1" applyFill="1" applyBorder="1" applyAlignment="1">
      <alignment horizontal="center" vertical="center"/>
    </xf>
    <xf numFmtId="9" fontId="0" fillId="0" borderId="0" xfId="0" applyNumberFormat="1" applyAlignment="1">
      <alignment vertical="center"/>
    </xf>
    <xf numFmtId="168" fontId="0" fillId="3" borderId="145" xfId="2" applyNumberFormat="1" applyFont="1" applyFill="1" applyBorder="1" applyAlignment="1" applyProtection="1">
      <alignment horizontal="center" vertical="center"/>
      <protection locked="0"/>
    </xf>
    <xf numFmtId="168" fontId="0" fillId="3" borderId="35" xfId="2" applyNumberFormat="1" applyFont="1" applyFill="1" applyBorder="1" applyAlignment="1" applyProtection="1">
      <alignment horizontal="center" vertical="center"/>
      <protection locked="0"/>
    </xf>
    <xf numFmtId="168" fontId="0" fillId="3" borderId="38" xfId="2" applyNumberFormat="1" applyFont="1" applyFill="1" applyBorder="1" applyAlignment="1" applyProtection="1">
      <alignment horizontal="center" vertical="center"/>
      <protection locked="0"/>
    </xf>
    <xf numFmtId="169" fontId="0" fillId="3" borderId="147" xfId="0" applyNumberForma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8" fillId="2" borderId="0" xfId="0" applyFont="1" applyFill="1"/>
    <xf numFmtId="0" fontId="8" fillId="2" borderId="1" xfId="0" applyFont="1" applyFill="1" applyBorder="1"/>
    <xf numFmtId="0" fontId="0" fillId="2" borderId="19" xfId="0" applyFill="1" applyBorder="1"/>
    <xf numFmtId="0" fontId="0" fillId="2" borderId="2" xfId="0" applyFill="1" applyBorder="1"/>
    <xf numFmtId="0" fontId="0" fillId="2" borderId="0" xfId="0" applyFill="1" applyProtection="1">
      <protection hidden="1"/>
    </xf>
    <xf numFmtId="0" fontId="69" fillId="2" borderId="0" xfId="0" applyFont="1" applyFill="1" applyProtection="1">
      <protection hidden="1"/>
    </xf>
    <xf numFmtId="0" fontId="57" fillId="2" borderId="0" xfId="0" applyFont="1" applyFill="1" applyProtection="1">
      <protection hidden="1"/>
    </xf>
    <xf numFmtId="0" fontId="0" fillId="2" borderId="0" xfId="0" applyFill="1" applyAlignment="1" applyProtection="1">
      <alignment horizontal="center"/>
      <protection hidden="1"/>
    </xf>
    <xf numFmtId="0" fontId="0" fillId="2" borderId="48" xfId="0" applyFill="1" applyBorder="1" applyAlignment="1" applyProtection="1">
      <alignment horizontal="center" vertical="center"/>
      <protection locked="0"/>
    </xf>
    <xf numFmtId="1" fontId="0" fillId="0" borderId="11" xfId="0" applyNumberFormat="1" applyBorder="1" applyAlignment="1" applyProtection="1">
      <alignment horizontal="center"/>
      <protection hidden="1"/>
    </xf>
    <xf numFmtId="0" fontId="0" fillId="3" borderId="11" xfId="0" applyFill="1" applyBorder="1" applyAlignment="1" applyProtection="1">
      <alignment horizontal="center"/>
      <protection locked="0"/>
    </xf>
    <xf numFmtId="0" fontId="0" fillId="8" borderId="0" xfId="0" applyFill="1" applyProtection="1">
      <protection hidden="1"/>
    </xf>
    <xf numFmtId="0" fontId="0" fillId="8" borderId="0" xfId="0" applyFill="1" applyAlignment="1" applyProtection="1">
      <alignment wrapText="1"/>
      <protection hidden="1"/>
    </xf>
    <xf numFmtId="0" fontId="0" fillId="0" borderId="11" xfId="0" applyBorder="1" applyAlignment="1" applyProtection="1">
      <alignment vertical="center"/>
      <protection hidden="1"/>
    </xf>
    <xf numFmtId="0" fontId="0" fillId="15" borderId="11" xfId="0" applyFill="1" applyBorder="1" applyAlignment="1" applyProtection="1">
      <alignment vertical="center" wrapText="1"/>
      <protection locked="0"/>
    </xf>
    <xf numFmtId="0" fontId="0" fillId="0" borderId="54"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2" borderId="11" xfId="0" applyFill="1" applyBorder="1" applyProtection="1">
      <protection hidden="1"/>
    </xf>
    <xf numFmtId="0" fontId="0" fillId="2" borderId="11" xfId="0" applyFill="1" applyBorder="1" applyAlignment="1" applyProtection="1">
      <alignment horizontal="center"/>
      <protection hidden="1"/>
    </xf>
    <xf numFmtId="0" fontId="0" fillId="0" borderId="140" xfId="0" applyBorder="1" applyProtection="1">
      <protection hidden="1"/>
    </xf>
    <xf numFmtId="0" fontId="0" fillId="0" borderId="140"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11" xfId="0" applyBorder="1" applyAlignment="1" applyProtection="1">
      <alignment vertical="center" wrapText="1"/>
      <protection hidden="1"/>
    </xf>
    <xf numFmtId="0" fontId="0" fillId="0" borderId="140" xfId="0" applyBorder="1" applyAlignment="1" applyProtection="1">
      <alignment wrapText="1"/>
      <protection hidden="1"/>
    </xf>
    <xf numFmtId="0" fontId="0" fillId="0" borderId="54" xfId="0" applyBorder="1" applyAlignment="1" applyProtection="1">
      <alignment horizontal="center" wrapText="1"/>
      <protection hidden="1"/>
    </xf>
    <xf numFmtId="164" fontId="0" fillId="0" borderId="54" xfId="0" applyNumberFormat="1" applyBorder="1" applyAlignment="1" applyProtection="1">
      <alignment horizontal="center"/>
      <protection hidden="1"/>
    </xf>
    <xf numFmtId="2" fontId="0" fillId="0" borderId="54" xfId="0" applyNumberFormat="1" applyBorder="1" applyAlignment="1" applyProtection="1">
      <alignment horizontal="center"/>
      <protection hidden="1"/>
    </xf>
    <xf numFmtId="0" fontId="0" fillId="0" borderId="141" xfId="0" applyBorder="1" applyAlignment="1" applyProtection="1">
      <alignment vertical="center"/>
      <protection hidden="1"/>
    </xf>
    <xf numFmtId="0" fontId="0" fillId="0" borderId="141" xfId="0" applyBorder="1" applyProtection="1">
      <protection hidden="1"/>
    </xf>
    <xf numFmtId="0" fontId="0" fillId="0" borderId="141" xfId="0" applyBorder="1" applyAlignment="1" applyProtection="1">
      <alignment horizontal="center"/>
      <protection hidden="1"/>
    </xf>
    <xf numFmtId="0" fontId="0" fillId="0" borderId="141"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vertical="center"/>
      <protection locked="0"/>
    </xf>
    <xf numFmtId="0" fontId="11" fillId="2" borderId="11" xfId="0" applyFont="1" applyFill="1" applyBorder="1" applyAlignment="1" applyProtection="1">
      <alignment vertical="center" wrapText="1"/>
      <protection locked="0"/>
    </xf>
    <xf numFmtId="0" fontId="11" fillId="2" borderId="11" xfId="0" applyFont="1" applyFill="1" applyBorder="1" applyAlignment="1" applyProtection="1">
      <alignment horizontal="center" vertical="center" wrapText="1"/>
      <protection locked="0"/>
    </xf>
    <xf numFmtId="0" fontId="8" fillId="0" borderId="0" xfId="0" applyFont="1" applyAlignment="1" applyProtection="1">
      <alignment vertical="center"/>
      <protection hidden="1"/>
    </xf>
    <xf numFmtId="0" fontId="72" fillId="0" borderId="0" xfId="0" applyFont="1" applyProtection="1">
      <protection hidden="1"/>
    </xf>
    <xf numFmtId="0" fontId="64" fillId="0" borderId="0" xfId="0" applyFont="1" applyAlignment="1" applyProtection="1">
      <alignment horizontal="center"/>
      <protection hidden="1"/>
    </xf>
    <xf numFmtId="0" fontId="0" fillId="2" borderId="11" xfId="0" applyFill="1" applyBorder="1" applyAlignment="1" applyProtection="1">
      <alignment horizontal="center" vertical="center"/>
      <protection locked="0"/>
    </xf>
    <xf numFmtId="0" fontId="0" fillId="2" borderId="11" xfId="0" applyFill="1" applyBorder="1" applyAlignment="1" applyProtection="1">
      <alignment horizontal="center" wrapText="1"/>
      <protection hidden="1"/>
    </xf>
    <xf numFmtId="0" fontId="1" fillId="0" borderId="11" xfId="0" applyFont="1" applyBorder="1" applyProtection="1">
      <protection locked="0"/>
    </xf>
    <xf numFmtId="0" fontId="64" fillId="0" borderId="0" xfId="0" applyFont="1" applyProtection="1">
      <protection hidden="1"/>
    </xf>
    <xf numFmtId="0" fontId="64" fillId="8" borderId="0" xfId="0" applyFont="1" applyFill="1" applyProtection="1">
      <protection hidden="1"/>
    </xf>
    <xf numFmtId="0" fontId="48" fillId="0" borderId="0" xfId="0" applyFont="1" applyAlignment="1" applyProtection="1">
      <alignment horizontal="center"/>
      <protection hidden="1"/>
    </xf>
    <xf numFmtId="0" fontId="1" fillId="2" borderId="11" xfId="0" applyFont="1" applyFill="1" applyBorder="1" applyAlignment="1" applyProtection="1">
      <alignment horizontal="center" vertical="center" wrapText="1"/>
      <protection hidden="1"/>
    </xf>
    <xf numFmtId="0" fontId="1" fillId="0" borderId="11" xfId="0" applyFont="1" applyBorder="1" applyAlignment="1" applyProtection="1">
      <alignment horizontal="center" vertical="center" wrapText="1"/>
      <protection hidden="1"/>
    </xf>
    <xf numFmtId="0" fontId="1" fillId="2" borderId="11" xfId="0" applyFont="1" applyFill="1" applyBorder="1" applyProtection="1">
      <protection hidden="1"/>
    </xf>
    <xf numFmtId="0" fontId="2" fillId="2" borderId="145" xfId="0" applyFont="1" applyFill="1" applyBorder="1" applyAlignment="1" applyProtection="1">
      <alignment horizontal="center"/>
      <protection locked="0"/>
    </xf>
    <xf numFmtId="0" fontId="2" fillId="2" borderId="147" xfId="0" applyFont="1" applyFill="1" applyBorder="1" applyAlignment="1" applyProtection="1">
      <alignment horizontal="center"/>
      <protection locked="0"/>
    </xf>
    <xf numFmtId="0" fontId="7" fillId="10" borderId="37" xfId="0" applyFont="1" applyFill="1" applyBorder="1" applyAlignment="1" applyProtection="1">
      <alignment horizontal="center" vertical="center"/>
      <protection locked="0"/>
    </xf>
    <xf numFmtId="0" fontId="7" fillId="10" borderId="38" xfId="0" applyFont="1" applyFill="1" applyBorder="1" applyAlignment="1" applyProtection="1">
      <alignment horizontal="center" vertical="center" wrapText="1"/>
      <protection locked="0"/>
    </xf>
    <xf numFmtId="0" fontId="7" fillId="10" borderId="134" xfId="0" applyFont="1" applyFill="1" applyBorder="1" applyAlignment="1" applyProtection="1">
      <alignment horizontal="center" vertical="center" wrapText="1"/>
      <protection locked="0"/>
    </xf>
    <xf numFmtId="0" fontId="11" fillId="3" borderId="34" xfId="0" applyFont="1" applyFill="1" applyBorder="1" applyAlignment="1" applyProtection="1">
      <alignment horizontal="center"/>
      <protection locked="0"/>
    </xf>
    <xf numFmtId="0" fontId="11" fillId="3" borderId="20"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3" fontId="11" fillId="3" borderId="11" xfId="0" applyNumberFormat="1" applyFont="1" applyFill="1" applyBorder="1" applyAlignment="1" applyProtection="1">
      <alignment horizontal="center"/>
      <protection locked="0"/>
    </xf>
    <xf numFmtId="0" fontId="11" fillId="3" borderId="17" xfId="0" applyFont="1" applyFill="1" applyBorder="1" applyAlignment="1" applyProtection="1">
      <alignment horizontal="center"/>
      <protection locked="0"/>
    </xf>
    <xf numFmtId="0" fontId="11" fillId="3" borderId="46" xfId="0" applyFont="1" applyFill="1" applyBorder="1" applyAlignment="1" applyProtection="1">
      <alignment horizontal="center"/>
      <protection locked="0"/>
    </xf>
    <xf numFmtId="0" fontId="0" fillId="3" borderId="50" xfId="0" applyFill="1" applyBorder="1" applyAlignment="1" applyProtection="1">
      <alignment horizontal="center" vertical="center" wrapText="1"/>
      <protection locked="0"/>
    </xf>
    <xf numFmtId="0" fontId="0" fillId="3" borderId="48"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protection locked="0"/>
    </xf>
    <xf numFmtId="0" fontId="0" fillId="3" borderId="11" xfId="0" applyFill="1" applyBorder="1" applyAlignment="1" applyProtection="1">
      <alignment vertical="center" wrapText="1"/>
      <protection locked="0"/>
    </xf>
    <xf numFmtId="0" fontId="11" fillId="10" borderId="11" xfId="0" applyFont="1" applyFill="1" applyBorder="1" applyAlignment="1">
      <alignment horizontal="center"/>
    </xf>
    <xf numFmtId="0" fontId="2" fillId="0" borderId="0" xfId="0" applyFont="1" applyAlignment="1" applyProtection="1">
      <alignment vertical="center" wrapText="1"/>
      <protection hidden="1"/>
    </xf>
    <xf numFmtId="0" fontId="0" fillId="5" borderId="0" xfId="0" applyFill="1" applyProtection="1">
      <protection hidden="1"/>
    </xf>
    <xf numFmtId="0" fontId="7"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vertical="center"/>
      <protection locked="0"/>
    </xf>
    <xf numFmtId="0" fontId="7"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2" borderId="0" xfId="0" applyFill="1" applyProtection="1">
      <protection locked="0"/>
    </xf>
    <xf numFmtId="0" fontId="0" fillId="2" borderId="0" xfId="0" applyFill="1" applyAlignment="1" applyProtection="1">
      <alignment horizontal="center"/>
      <protection locked="0"/>
    </xf>
    <xf numFmtId="0" fontId="1" fillId="2" borderId="0" xfId="0" applyFont="1" applyFill="1" applyAlignment="1" applyProtection="1">
      <alignment vertical="center"/>
      <protection locked="0"/>
    </xf>
    <xf numFmtId="0" fontId="2" fillId="2" borderId="0" xfId="0" applyFont="1" applyFill="1" applyAlignment="1" applyProtection="1">
      <alignment horizontal="left" vertical="center" wrapText="1"/>
      <protection locked="0"/>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left" vertical="center" wrapText="1"/>
      <protection locked="0"/>
    </xf>
    <xf numFmtId="2" fontId="7" fillId="0" borderId="0" xfId="0" applyNumberFormat="1" applyFont="1" applyAlignment="1" applyProtection="1">
      <alignment horizontal="center" vertical="center"/>
      <protection hidden="1"/>
    </xf>
    <xf numFmtId="0" fontId="62" fillId="0" borderId="0" xfId="0" quotePrefix="1" applyFont="1" applyAlignment="1" applyProtection="1">
      <alignment horizontal="justify" vertical="center" wrapText="1"/>
      <protection hidden="1"/>
    </xf>
    <xf numFmtId="0" fontId="2" fillId="0" borderId="0" xfId="0" quotePrefix="1" applyFont="1" applyAlignment="1" applyProtection="1">
      <alignment vertical="center" wrapText="1"/>
      <protection hidden="1"/>
    </xf>
    <xf numFmtId="0" fontId="9" fillId="0" borderId="0" xfId="1" applyFill="1" applyBorder="1" applyAlignment="1" applyProtection="1">
      <alignment horizontal="center" vertical="center"/>
      <protection hidden="1"/>
    </xf>
    <xf numFmtId="0" fontId="62" fillId="2" borderId="0" xfId="0" quotePrefix="1" applyFont="1" applyFill="1" applyAlignment="1" applyProtection="1">
      <alignment horizontal="justify" vertical="center" wrapText="1"/>
      <protection hidden="1"/>
    </xf>
    <xf numFmtId="0" fontId="2" fillId="2" borderId="0" xfId="0" quotePrefix="1" applyFont="1" applyFill="1" applyAlignment="1" applyProtection="1">
      <alignment vertical="center" wrapText="1"/>
      <protection hidden="1"/>
    </xf>
    <xf numFmtId="0" fontId="9" fillId="2" borderId="0" xfId="1" applyFill="1" applyBorder="1" applyAlignment="1" applyProtection="1">
      <alignment horizontal="center" vertical="center"/>
      <protection hidden="1"/>
    </xf>
    <xf numFmtId="4" fontId="63" fillId="0" borderId="2" xfId="0" applyNumberFormat="1" applyFont="1" applyBorder="1" applyAlignment="1" applyProtection="1">
      <alignment horizontal="center" vertical="center"/>
      <protection hidden="1"/>
    </xf>
    <xf numFmtId="4" fontId="0" fillId="0" borderId="156" xfId="0" applyNumberFormat="1" applyBorder="1" applyAlignment="1" applyProtection="1">
      <alignment horizontal="center" vertical="center"/>
      <protection hidden="1"/>
    </xf>
    <xf numFmtId="4" fontId="9" fillId="0" borderId="2" xfId="1" applyNumberFormat="1" applyBorder="1" applyAlignment="1" applyProtection="1">
      <alignment horizontal="center" vertical="center"/>
      <protection hidden="1"/>
    </xf>
    <xf numFmtId="0" fontId="8" fillId="2" borderId="9" xfId="0" applyFont="1" applyFill="1" applyBorder="1" applyAlignment="1">
      <alignment horizontal="center" vertical="center" wrapText="1"/>
    </xf>
    <xf numFmtId="9" fontId="8" fillId="2" borderId="10" xfId="2" applyFont="1" applyFill="1" applyBorder="1" applyAlignment="1">
      <alignment horizontal="center" vertical="center" wrapText="1"/>
    </xf>
    <xf numFmtId="0" fontId="0" fillId="3" borderId="44" xfId="0" applyFill="1" applyBorder="1" applyProtection="1">
      <protection locked="0"/>
    </xf>
    <xf numFmtId="0" fontId="0" fillId="3" borderId="28" xfId="0" applyFill="1" applyBorder="1" applyProtection="1">
      <protection locked="0"/>
    </xf>
    <xf numFmtId="0" fontId="0" fillId="10" borderId="1" xfId="0" applyFill="1" applyBorder="1" applyAlignment="1">
      <alignment horizontal="left"/>
    </xf>
    <xf numFmtId="0" fontId="2" fillId="5" borderId="0" xfId="0" applyFont="1" applyFill="1" applyAlignment="1">
      <alignment horizontal="left" vertical="center" wrapText="1"/>
    </xf>
    <xf numFmtId="0" fontId="8" fillId="5" borderId="0" xfId="0" applyFont="1" applyFill="1" applyAlignment="1">
      <alignment vertical="center" wrapText="1"/>
    </xf>
    <xf numFmtId="0" fontId="2" fillId="5" borderId="0" xfId="0" applyFont="1" applyFill="1" applyAlignment="1">
      <alignment vertical="center" wrapText="1"/>
    </xf>
    <xf numFmtId="0" fontId="1" fillId="0" borderId="1" xfId="0" applyFont="1" applyBorder="1" applyAlignment="1">
      <alignment horizontal="left"/>
    </xf>
    <xf numFmtId="0" fontId="1" fillId="0" borderId="19" xfId="0" applyFont="1" applyBorder="1" applyAlignment="1">
      <alignment horizontal="left"/>
    </xf>
    <xf numFmtId="0" fontId="1" fillId="0" borderId="2" xfId="0" applyFont="1" applyBorder="1" applyAlignment="1">
      <alignment horizontal="left"/>
    </xf>
    <xf numFmtId="0" fontId="0" fillId="11" borderId="3" xfId="0" applyFill="1" applyBorder="1"/>
    <xf numFmtId="0" fontId="0" fillId="11" borderId="4" xfId="0" applyFill="1" applyBorder="1"/>
    <xf numFmtId="0" fontId="0" fillId="11" borderId="5" xfId="0" applyFill="1" applyBorder="1"/>
    <xf numFmtId="0" fontId="0" fillId="11" borderId="8" xfId="0" applyFill="1" applyBorder="1"/>
    <xf numFmtId="0" fontId="0" fillId="11" borderId="9" xfId="0" applyFill="1" applyBorder="1"/>
    <xf numFmtId="0" fontId="0" fillId="11" borderId="10" xfId="0" applyFill="1" applyBorder="1"/>
    <xf numFmtId="0" fontId="0" fillId="0" borderId="0" xfId="0"/>
    <xf numFmtId="0" fontId="2" fillId="5" borderId="0" xfId="0" applyFont="1" applyFill="1" applyAlignment="1">
      <alignment horizontal="left" vertical="center" wrapText="1" indent="1"/>
    </xf>
    <xf numFmtId="9" fontId="0" fillId="3" borderId="28" xfId="2" applyFont="1" applyFill="1" applyBorder="1" applyAlignment="1" applyProtection="1">
      <alignment horizontal="center" vertical="center"/>
      <protection locked="0"/>
    </xf>
    <xf numFmtId="2" fontId="1" fillId="11" borderId="19" xfId="0" applyNumberFormat="1" applyFont="1" applyFill="1" applyBorder="1" applyAlignment="1">
      <alignment horizontal="center" vertical="center"/>
    </xf>
    <xf numFmtId="2" fontId="1" fillId="11" borderId="2" xfId="0" applyNumberFormat="1" applyFont="1" applyFill="1" applyBorder="1" applyAlignment="1">
      <alignment horizontal="center" vertical="center"/>
    </xf>
    <xf numFmtId="0" fontId="7" fillId="11" borderId="12" xfId="0" applyFont="1" applyFill="1" applyBorder="1" applyAlignment="1">
      <alignment horizontal="center"/>
    </xf>
    <xf numFmtId="0" fontId="1" fillId="0" borderId="12" xfId="0" applyFont="1" applyBorder="1" applyAlignment="1">
      <alignment horizontal="left"/>
    </xf>
    <xf numFmtId="0" fontId="1" fillId="0" borderId="12" xfId="0" applyFont="1" applyBorder="1" applyAlignment="1">
      <alignment horizontal="center" vertical="center" wrapText="1"/>
    </xf>
    <xf numFmtId="165" fontId="0" fillId="0" borderId="21" xfId="0" applyNumberFormat="1" applyBorder="1" applyAlignment="1">
      <alignment horizontal="center" vertical="center"/>
    </xf>
    <xf numFmtId="2" fontId="0" fillId="0" borderId="28" xfId="0" applyNumberFormat="1" applyBorder="1" applyAlignment="1">
      <alignment horizontal="center" vertical="center"/>
    </xf>
    <xf numFmtId="9" fontId="0" fillId="3" borderId="21" xfId="2" applyFont="1" applyFill="1" applyBorder="1" applyAlignment="1" applyProtection="1">
      <alignment horizontal="center" vertical="center"/>
      <protection locked="0"/>
    </xf>
    <xf numFmtId="0" fontId="1" fillId="11" borderId="8" xfId="0" applyFont="1" applyFill="1" applyBorder="1"/>
    <xf numFmtId="0" fontId="1" fillId="11" borderId="9" xfId="0" applyFont="1" applyFill="1" applyBorder="1"/>
    <xf numFmtId="0" fontId="1" fillId="11" borderId="10" xfId="0" applyFont="1" applyFill="1" applyBorder="1"/>
    <xf numFmtId="0" fontId="0" fillId="3" borderId="61"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2" fillId="5" borderId="56" xfId="0" applyFont="1" applyFill="1" applyBorder="1" applyAlignment="1">
      <alignment vertical="center" wrapText="1"/>
    </xf>
    <xf numFmtId="0" fontId="2" fillId="5" borderId="57" xfId="0" applyFont="1" applyFill="1" applyBorder="1" applyAlignment="1">
      <alignment vertical="center" wrapText="1"/>
    </xf>
    <xf numFmtId="0" fontId="2" fillId="5" borderId="6" xfId="0" applyFont="1" applyFill="1" applyBorder="1" applyAlignment="1">
      <alignment vertical="center" wrapText="1"/>
    </xf>
    <xf numFmtId="0" fontId="2" fillId="5" borderId="6" xfId="0" applyFont="1" applyFill="1" applyBorder="1" applyAlignment="1">
      <alignment horizontal="left" vertical="center" wrapText="1"/>
    </xf>
    <xf numFmtId="0" fontId="2" fillId="5" borderId="58" xfId="0" applyFont="1" applyFill="1" applyBorder="1" applyAlignment="1">
      <alignment vertical="center" wrapText="1"/>
    </xf>
    <xf numFmtId="0" fontId="2" fillId="5" borderId="59" xfId="0" applyFont="1" applyFill="1" applyBorder="1" applyAlignment="1">
      <alignment vertical="center" wrapText="1"/>
    </xf>
    <xf numFmtId="0" fontId="2" fillId="5" borderId="0" xfId="0" applyFont="1" applyFill="1" applyAlignment="1">
      <alignment horizontal="center"/>
    </xf>
    <xf numFmtId="0" fontId="11" fillId="10" borderId="54" xfId="0" applyFont="1" applyFill="1" applyBorder="1" applyAlignment="1">
      <alignment horizontal="center"/>
    </xf>
    <xf numFmtId="0" fontId="11" fillId="10" borderId="140" xfId="0" applyFont="1" applyFill="1" applyBorder="1" applyAlignment="1">
      <alignment horizontal="center"/>
    </xf>
    <xf numFmtId="0" fontId="11" fillId="10" borderId="50" xfId="0" applyFont="1" applyFill="1" applyBorder="1" applyAlignment="1">
      <alignment horizontal="center"/>
    </xf>
    <xf numFmtId="0" fontId="2" fillId="5" borderId="0" xfId="0" applyFont="1" applyFill="1" applyAlignment="1" applyProtection="1">
      <alignment horizontal="left" vertical="center" wrapText="1"/>
      <protection hidden="1"/>
    </xf>
    <xf numFmtId="0" fontId="2" fillId="2" borderId="144" xfId="0" applyFont="1" applyFill="1" applyBorder="1" applyAlignment="1" applyProtection="1">
      <alignment horizontal="center"/>
      <protection locked="0"/>
    </xf>
    <xf numFmtId="0" fontId="2" fillId="2" borderId="145" xfId="0" applyFont="1" applyFill="1" applyBorder="1" applyAlignment="1" applyProtection="1">
      <alignment horizontal="center"/>
      <protection locked="0"/>
    </xf>
    <xf numFmtId="0" fontId="2" fillId="2" borderId="145" xfId="0" applyFont="1" applyFill="1" applyBorder="1" applyAlignment="1" applyProtection="1">
      <alignment horizontal="center" vertical="center" wrapText="1"/>
      <protection locked="0"/>
    </xf>
    <xf numFmtId="0" fontId="2" fillId="26" borderId="0" xfId="0" applyFont="1" applyFill="1" applyAlignment="1" applyProtection="1">
      <alignment horizontal="left" vertical="top" wrapText="1"/>
      <protection hidden="1"/>
    </xf>
    <xf numFmtId="0" fontId="2" fillId="26" borderId="0" xfId="0" applyFont="1" applyFill="1" applyAlignment="1" applyProtection="1">
      <alignment horizontal="center" vertical="center" wrapText="1"/>
      <protection hidden="1"/>
    </xf>
    <xf numFmtId="0" fontId="2" fillId="26" borderId="52" xfId="0" applyFont="1" applyFill="1" applyBorder="1" applyAlignment="1" applyProtection="1">
      <alignment horizontal="center" vertical="center" wrapText="1"/>
      <protection hidden="1"/>
    </xf>
    <xf numFmtId="0" fontId="11" fillId="2" borderId="11" xfId="0" applyFont="1" applyFill="1" applyBorder="1" applyAlignment="1" applyProtection="1">
      <alignment vertical="center" wrapText="1"/>
      <protection locked="0"/>
    </xf>
    <xf numFmtId="0" fontId="70" fillId="26" borderId="0" xfId="0" applyFont="1" applyFill="1" applyAlignment="1" applyProtection="1">
      <alignment horizontal="center" vertical="center" wrapText="1"/>
      <protection hidden="1"/>
    </xf>
    <xf numFmtId="0" fontId="0" fillId="0" borderId="11" xfId="0" applyBorder="1" applyAlignment="1" applyProtection="1">
      <alignment vertical="center"/>
      <protection hidden="1"/>
    </xf>
    <xf numFmtId="0" fontId="0" fillId="0" borderId="54" xfId="0" applyBorder="1" applyAlignment="1" applyProtection="1">
      <alignment vertical="center"/>
      <protection hidden="1"/>
    </xf>
    <xf numFmtId="0" fontId="0" fillId="0" borderId="11" xfId="0" applyBorder="1" applyAlignment="1" applyProtection="1">
      <alignment vertical="center" wrapText="1"/>
      <protection hidden="1"/>
    </xf>
    <xf numFmtId="0" fontId="0" fillId="0" borderId="54" xfId="0" applyBorder="1" applyAlignment="1" applyProtection="1">
      <alignment vertical="center" wrapText="1"/>
      <protection hidden="1"/>
    </xf>
    <xf numFmtId="0" fontId="1" fillId="2" borderId="48" xfId="0" applyFont="1" applyFill="1" applyBorder="1" applyAlignment="1" applyProtection="1">
      <alignment horizontal="center" vertical="center"/>
      <protection locked="0"/>
    </xf>
    <xf numFmtId="0" fontId="1" fillId="2" borderId="132"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0" fillId="15" borderId="11" xfId="0" applyFill="1" applyBorder="1" applyAlignment="1" applyProtection="1">
      <alignment horizontal="left" vertical="center" wrapText="1"/>
      <protection locked="0"/>
    </xf>
    <xf numFmtId="0" fontId="1" fillId="12" borderId="11" xfId="0" applyFont="1" applyFill="1" applyBorder="1" applyAlignment="1" applyProtection="1">
      <alignment vertical="center"/>
      <protection hidden="1"/>
    </xf>
    <xf numFmtId="0" fontId="1" fillId="12" borderId="54" xfId="0" applyFont="1" applyFill="1" applyBorder="1" applyAlignment="1" applyProtection="1">
      <alignment vertical="center"/>
      <protection hidden="1"/>
    </xf>
    <xf numFmtId="0" fontId="52" fillId="0" borderId="152" xfId="0" applyFont="1" applyBorder="1" applyAlignment="1" applyProtection="1">
      <alignment horizontal="left" vertical="center" wrapText="1"/>
      <protection hidden="1"/>
    </xf>
    <xf numFmtId="0" fontId="0" fillId="3" borderId="11" xfId="0" applyFill="1" applyBorder="1" applyAlignment="1" applyProtection="1">
      <alignment horizontal="left" vertical="center" wrapText="1"/>
      <protection locked="0"/>
    </xf>
    <xf numFmtId="0" fontId="0" fillId="3" borderId="54" xfId="0" applyFill="1" applyBorder="1" applyAlignment="1" applyProtection="1">
      <alignment horizontal="left" vertical="center" wrapText="1"/>
      <protection locked="0"/>
    </xf>
    <xf numFmtId="0" fontId="0" fillId="3" borderId="140"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2" fillId="26" borderId="0" xfId="0" applyFont="1" applyFill="1" applyAlignment="1" applyProtection="1">
      <alignment horizontal="left" vertical="center" wrapText="1"/>
      <protection hidden="1"/>
    </xf>
    <xf numFmtId="0" fontId="14" fillId="0" borderId="0" xfId="4" applyAlignment="1" applyProtection="1">
      <alignment horizontal="left" indent="1"/>
      <protection hidden="1"/>
    </xf>
    <xf numFmtId="0" fontId="14" fillId="0" borderId="0" xfId="4" applyAlignment="1" applyProtection="1">
      <alignment horizontal="left" vertical="top"/>
      <protection hidden="1"/>
    </xf>
    <xf numFmtId="0" fontId="1" fillId="0" borderId="29"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1" fillId="10" borderId="20" xfId="4" applyFont="1" applyFill="1" applyBorder="1" applyAlignment="1" applyProtection="1">
      <alignment horizontal="left" vertical="center" wrapText="1" indent="1"/>
      <protection hidden="1"/>
    </xf>
    <xf numFmtId="0" fontId="11" fillId="10" borderId="41" xfId="4" applyFont="1" applyFill="1" applyBorder="1" applyAlignment="1" applyProtection="1">
      <alignment horizontal="left" vertical="center" wrapText="1" indent="1"/>
      <protection hidden="1"/>
    </xf>
    <xf numFmtId="0" fontId="11" fillId="0" borderId="113" xfId="4" applyFont="1" applyBorder="1" applyAlignment="1" applyProtection="1">
      <alignment horizontal="left" vertical="center" wrapText="1" indent="1"/>
      <protection hidden="1"/>
    </xf>
    <xf numFmtId="0" fontId="11" fillId="0" borderId="27" xfId="4" applyFont="1" applyBorder="1" applyAlignment="1" applyProtection="1">
      <alignment horizontal="left" vertical="center" wrapText="1" indent="1"/>
      <protection hidden="1"/>
    </xf>
    <xf numFmtId="0" fontId="11" fillId="0" borderId="114" xfId="4" applyFont="1" applyBorder="1" applyAlignment="1" applyProtection="1">
      <alignment horizontal="left" vertical="center" wrapText="1" indent="1"/>
      <protection hidden="1"/>
    </xf>
    <xf numFmtId="0" fontId="11" fillId="3" borderId="34" xfId="4" applyFont="1" applyFill="1" applyBorder="1" applyAlignment="1" applyProtection="1">
      <alignment horizontal="left" vertical="center" wrapText="1" indent="1"/>
      <protection locked="0"/>
    </xf>
    <xf numFmtId="0" fontId="11" fillId="3" borderId="20" xfId="4" applyFont="1" applyFill="1" applyBorder="1" applyAlignment="1" applyProtection="1">
      <alignment horizontal="left" vertical="center" wrapText="1" indent="1"/>
      <protection locked="0"/>
    </xf>
    <xf numFmtId="0" fontId="11" fillId="3" borderId="33" xfId="4" applyFont="1" applyFill="1" applyBorder="1" applyAlignment="1" applyProtection="1">
      <alignment horizontal="left" vertical="center" wrapText="1" indent="1"/>
      <protection locked="0"/>
    </xf>
    <xf numFmtId="0" fontId="11" fillId="3" borderId="15" xfId="4" applyFont="1" applyFill="1" applyBorder="1" applyAlignment="1" applyProtection="1">
      <alignment horizontal="left" vertical="center" wrapText="1" indent="1"/>
      <protection locked="0"/>
    </xf>
    <xf numFmtId="0" fontId="11" fillId="3" borderId="11" xfId="4" applyFont="1" applyFill="1" applyBorder="1" applyAlignment="1" applyProtection="1">
      <alignment horizontal="left" vertical="center" wrapText="1" indent="1"/>
      <protection locked="0"/>
    </xf>
    <xf numFmtId="0" fontId="11" fillId="3" borderId="16" xfId="4" applyFont="1" applyFill="1" applyBorder="1" applyAlignment="1" applyProtection="1">
      <alignment horizontal="left" vertical="center" wrapText="1" indent="1"/>
      <protection locked="0"/>
    </xf>
    <xf numFmtId="0" fontId="11" fillId="3" borderId="17" xfId="4" applyFont="1" applyFill="1" applyBorder="1" applyAlignment="1" applyProtection="1">
      <alignment horizontal="left" vertical="center" wrapText="1" indent="1"/>
      <protection locked="0"/>
    </xf>
    <xf numFmtId="0" fontId="11" fillId="3" borderId="46" xfId="4" applyFont="1" applyFill="1" applyBorder="1" applyAlignment="1" applyProtection="1">
      <alignment horizontal="left" vertical="center" wrapText="1" indent="1"/>
      <protection locked="0"/>
    </xf>
    <xf numFmtId="0" fontId="11" fillId="3" borderId="18" xfId="4" applyFont="1" applyFill="1" applyBorder="1" applyAlignment="1" applyProtection="1">
      <alignment horizontal="left" vertical="center" wrapText="1" indent="1"/>
      <protection locked="0"/>
    </xf>
    <xf numFmtId="0" fontId="11" fillId="10" borderId="11" xfId="4" applyFont="1" applyFill="1" applyBorder="1" applyAlignment="1" applyProtection="1">
      <alignment horizontal="left" vertical="center" indent="1"/>
      <protection hidden="1"/>
    </xf>
    <xf numFmtId="0" fontId="11" fillId="10" borderId="54" xfId="4" applyFont="1" applyFill="1" applyBorder="1" applyAlignment="1" applyProtection="1">
      <alignment horizontal="left" vertical="center" indent="1"/>
      <protection hidden="1"/>
    </xf>
    <xf numFmtId="0" fontId="11" fillId="10" borderId="11" xfId="4" applyFont="1" applyFill="1" applyBorder="1" applyAlignment="1" applyProtection="1">
      <alignment horizontal="left" vertical="center" wrapText="1" indent="1"/>
      <protection hidden="1"/>
    </xf>
    <xf numFmtId="0" fontId="11" fillId="10" borderId="16" xfId="4" applyFont="1" applyFill="1" applyBorder="1" applyAlignment="1" applyProtection="1">
      <alignment horizontal="left" vertical="center" wrapText="1" indent="1"/>
      <protection hidden="1"/>
    </xf>
    <xf numFmtId="0" fontId="11" fillId="0" borderId="17" xfId="4" applyFont="1" applyBorder="1" applyAlignment="1" applyProtection="1">
      <alignment horizontal="left" vertical="center" wrapText="1" indent="1"/>
      <protection hidden="1"/>
    </xf>
    <xf numFmtId="0" fontId="11" fillId="0" borderId="46" xfId="4" applyFont="1" applyBorder="1" applyAlignment="1" applyProtection="1">
      <alignment horizontal="left" vertical="center" wrapText="1" indent="1"/>
      <protection hidden="1"/>
    </xf>
    <xf numFmtId="0" fontId="11" fillId="0" borderId="18" xfId="4" applyFont="1" applyBorder="1" applyAlignment="1" applyProtection="1">
      <alignment horizontal="left" vertical="center" wrapText="1" indent="1"/>
      <protection hidden="1"/>
    </xf>
    <xf numFmtId="0" fontId="8" fillId="2" borderId="3"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115" xfId="0" applyFont="1" applyFill="1" applyBorder="1" applyAlignment="1" applyProtection="1">
      <alignment horizontal="center" vertical="center" wrapText="1"/>
      <protection hidden="1"/>
    </xf>
    <xf numFmtId="0" fontId="8" fillId="2" borderId="111" xfId="0" applyFont="1" applyFill="1" applyBorder="1" applyAlignment="1" applyProtection="1">
      <alignment horizontal="center" vertical="center" wrapText="1"/>
      <protection hidden="1"/>
    </xf>
    <xf numFmtId="0" fontId="8" fillId="2" borderId="116"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wrapText="1"/>
      <protection hidden="1"/>
    </xf>
    <xf numFmtId="0" fontId="11" fillId="0" borderId="34" xfId="4" applyFont="1" applyBorder="1" applyAlignment="1" applyProtection="1">
      <alignment horizontal="left" vertical="center" indent="1"/>
      <protection hidden="1"/>
    </xf>
    <xf numFmtId="0" fontId="11" fillId="0" borderId="41" xfId="4" applyFont="1" applyBorder="1" applyAlignment="1" applyProtection="1">
      <alignment horizontal="left" vertical="center" indent="1"/>
      <protection hidden="1"/>
    </xf>
    <xf numFmtId="0" fontId="14" fillId="3" borderId="34" xfId="4" applyFill="1" applyBorder="1" applyAlignment="1" applyProtection="1">
      <alignment horizontal="left" indent="1"/>
      <protection locked="0"/>
    </xf>
    <xf numFmtId="0" fontId="14" fillId="3" borderId="20" xfId="4" applyFill="1" applyBorder="1" applyAlignment="1" applyProtection="1">
      <alignment horizontal="left" indent="1"/>
      <protection locked="0"/>
    </xf>
    <xf numFmtId="0" fontId="14" fillId="3" borderId="33" xfId="4" applyFill="1" applyBorder="1" applyAlignment="1" applyProtection="1">
      <alignment horizontal="left" indent="1"/>
      <protection locked="0"/>
    </xf>
    <xf numFmtId="0" fontId="8" fillId="11" borderId="29" xfId="0" applyFont="1" applyFill="1" applyBorder="1" applyAlignment="1" applyProtection="1">
      <alignment horizontal="left" vertical="center" wrapText="1" indent="1"/>
      <protection hidden="1"/>
    </xf>
    <xf numFmtId="0" fontId="8" fillId="11" borderId="30" xfId="0" applyFont="1" applyFill="1" applyBorder="1" applyAlignment="1" applyProtection="1">
      <alignment horizontal="left" vertical="center" wrapText="1" indent="1"/>
      <protection hidden="1"/>
    </xf>
    <xf numFmtId="0" fontId="8" fillId="11" borderId="32" xfId="0" applyFont="1" applyFill="1" applyBorder="1" applyAlignment="1" applyProtection="1">
      <alignment horizontal="left" vertical="center" wrapText="1" indent="1"/>
      <protection hidden="1"/>
    </xf>
    <xf numFmtId="0" fontId="7" fillId="18" borderId="29" xfId="4" applyFont="1" applyFill="1" applyBorder="1" applyAlignment="1" applyProtection="1">
      <alignment horizontal="center" vertical="center"/>
      <protection hidden="1"/>
    </xf>
    <xf numFmtId="0" fontId="7" fillId="18" borderId="30" xfId="4" applyFont="1" applyFill="1" applyBorder="1" applyAlignment="1" applyProtection="1">
      <alignment horizontal="center" vertical="center"/>
      <protection hidden="1"/>
    </xf>
    <xf numFmtId="0" fontId="7" fillId="18" borderId="31" xfId="4" applyFont="1" applyFill="1" applyBorder="1" applyAlignment="1" applyProtection="1">
      <alignment horizontal="center" vertical="center"/>
      <protection hidden="1"/>
    </xf>
    <xf numFmtId="0" fontId="11" fillId="11" borderId="34" xfId="4" applyFont="1" applyFill="1" applyBorder="1" applyAlignment="1" applyProtection="1">
      <alignment horizontal="left" vertical="center" indent="1"/>
      <protection hidden="1"/>
    </xf>
    <xf numFmtId="0" fontId="11" fillId="11" borderId="20" xfId="4" applyFont="1" applyFill="1" applyBorder="1" applyAlignment="1" applyProtection="1">
      <alignment horizontal="left" vertical="center" indent="1"/>
      <protection hidden="1"/>
    </xf>
    <xf numFmtId="0" fontId="14" fillId="3" borderId="41" xfId="4" applyFill="1" applyBorder="1" applyAlignment="1" applyProtection="1">
      <alignment horizontal="left" indent="1"/>
      <protection locked="0"/>
    </xf>
    <xf numFmtId="0" fontId="14" fillId="3" borderId="34" xfId="0" applyFont="1" applyFill="1" applyBorder="1" applyAlignment="1" applyProtection="1">
      <alignment horizontal="left" vertical="center" wrapText="1" indent="1"/>
      <protection locked="0"/>
    </xf>
    <xf numFmtId="0" fontId="14" fillId="3" borderId="20" xfId="0" applyFont="1" applyFill="1" applyBorder="1" applyAlignment="1" applyProtection="1">
      <alignment horizontal="left" vertical="center" wrapText="1" indent="1"/>
      <protection locked="0"/>
    </xf>
    <xf numFmtId="0" fontId="14" fillId="3" borderId="33" xfId="0" applyFont="1" applyFill="1" applyBorder="1" applyAlignment="1" applyProtection="1">
      <alignment horizontal="left" vertical="center" wrapText="1" indent="1"/>
      <protection locked="0"/>
    </xf>
    <xf numFmtId="0" fontId="14" fillId="3" borderId="17" xfId="0" applyFont="1" applyFill="1" applyBorder="1" applyAlignment="1" applyProtection="1">
      <alignment horizontal="left" vertical="center" wrapText="1" indent="1"/>
      <protection locked="0"/>
    </xf>
    <xf numFmtId="0" fontId="14" fillId="3" borderId="46" xfId="0" applyFont="1" applyFill="1" applyBorder="1" applyAlignment="1" applyProtection="1">
      <alignment horizontal="left" vertical="center" wrapText="1" indent="1"/>
      <protection locked="0"/>
    </xf>
    <xf numFmtId="0" fontId="14" fillId="3" borderId="18" xfId="0" applyFont="1" applyFill="1" applyBorder="1" applyAlignment="1" applyProtection="1">
      <alignment horizontal="left" vertical="center" wrapText="1" indent="1"/>
      <protection locked="0"/>
    </xf>
    <xf numFmtId="0" fontId="11" fillId="11" borderId="17"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0" fontId="14" fillId="3" borderId="46" xfId="4" applyFill="1" applyBorder="1" applyAlignment="1" applyProtection="1">
      <alignment horizontal="left" indent="1"/>
      <protection locked="0"/>
    </xf>
    <xf numFmtId="0" fontId="14" fillId="3" borderId="107" xfId="4" applyFill="1" applyBorder="1" applyAlignment="1" applyProtection="1">
      <alignment horizontal="left" indent="1"/>
      <protection locked="0"/>
    </xf>
    <xf numFmtId="0" fontId="8" fillId="2" borderId="1" xfId="0" applyFont="1" applyFill="1" applyBorder="1" applyAlignment="1" applyProtection="1">
      <alignment horizontal="center" vertical="center" wrapText="1"/>
      <protection hidden="1"/>
    </xf>
    <xf numFmtId="0" fontId="8" fillId="2" borderId="19" xfId="0" applyFont="1" applyFill="1" applyBorder="1" applyAlignment="1" applyProtection="1">
      <alignment horizontal="center" vertical="center" wrapText="1"/>
      <protection hidden="1"/>
    </xf>
    <xf numFmtId="0" fontId="8" fillId="2" borderId="43" xfId="0" applyFont="1" applyFill="1" applyBorder="1" applyAlignment="1" applyProtection="1">
      <alignment horizontal="center" vertical="center" wrapText="1"/>
      <protection hidden="1"/>
    </xf>
    <xf numFmtId="0" fontId="1" fillId="0" borderId="34" xfId="4" applyFont="1" applyBorder="1" applyAlignment="1" applyProtection="1">
      <alignment horizontal="center"/>
      <protection hidden="1"/>
    </xf>
    <xf numFmtId="0" fontId="1" fillId="0" borderId="20" xfId="4" applyFont="1" applyBorder="1" applyAlignment="1" applyProtection="1">
      <alignment horizontal="center"/>
      <protection hidden="1"/>
    </xf>
    <xf numFmtId="0" fontId="1" fillId="0" borderId="33" xfId="4" applyFont="1" applyBorder="1" applyAlignment="1" applyProtection="1">
      <alignment horizontal="center"/>
      <protection hidden="1"/>
    </xf>
    <xf numFmtId="0" fontId="1" fillId="0" borderId="15" xfId="4" applyFont="1" applyBorder="1" applyAlignment="1" applyProtection="1">
      <alignment horizontal="center"/>
      <protection hidden="1"/>
    </xf>
    <xf numFmtId="0" fontId="1" fillId="0" borderId="11" xfId="4" applyFont="1" applyBorder="1" applyAlignment="1" applyProtection="1">
      <alignment horizontal="center"/>
      <protection hidden="1"/>
    </xf>
    <xf numFmtId="0" fontId="1" fillId="0" borderId="16" xfId="4" applyFont="1" applyBorder="1" applyAlignment="1" applyProtection="1">
      <alignment horizontal="center"/>
      <protection hidden="1"/>
    </xf>
    <xf numFmtId="0" fontId="1" fillId="0" borderId="17" xfId="4" applyFont="1" applyBorder="1" applyAlignment="1" applyProtection="1">
      <alignment horizontal="center"/>
      <protection hidden="1"/>
    </xf>
    <xf numFmtId="0" fontId="1" fillId="0" borderId="46" xfId="4" applyFont="1" applyBorder="1" applyAlignment="1" applyProtection="1">
      <alignment horizontal="center"/>
      <protection hidden="1"/>
    </xf>
    <xf numFmtId="0" fontId="1" fillId="0" borderId="18" xfId="4" applyFont="1" applyBorder="1" applyAlignment="1" applyProtection="1">
      <alignment horizontal="center"/>
      <protection hidden="1"/>
    </xf>
    <xf numFmtId="0" fontId="11" fillId="3" borderId="15" xfId="4" quotePrefix="1" applyFont="1" applyFill="1" applyBorder="1" applyAlignment="1" applyProtection="1">
      <alignment horizontal="left" vertical="center" wrapText="1" indent="1"/>
      <protection locked="0"/>
    </xf>
    <xf numFmtId="0" fontId="2" fillId="5" borderId="17" xfId="4" applyFont="1" applyFill="1" applyBorder="1" applyAlignment="1" applyProtection="1">
      <alignment horizontal="left" vertical="center" wrapText="1" indent="1"/>
      <protection hidden="1"/>
    </xf>
    <xf numFmtId="0" fontId="2" fillId="5" borderId="46" xfId="4" applyFont="1" applyFill="1" applyBorder="1" applyAlignment="1" applyProtection="1">
      <alignment horizontal="left" vertical="center" wrapText="1" indent="1"/>
      <protection hidden="1"/>
    </xf>
    <xf numFmtId="0" fontId="2" fillId="5" borderId="108" xfId="4" applyFont="1" applyFill="1" applyBorder="1" applyAlignment="1" applyProtection="1">
      <alignment horizontal="left" vertical="center" wrapText="1" indent="1"/>
      <protection hidden="1"/>
    </xf>
    <xf numFmtId="0" fontId="2" fillId="5" borderId="109" xfId="4" applyFont="1" applyFill="1" applyBorder="1" applyAlignment="1" applyProtection="1">
      <alignment horizontal="left" vertical="center" wrapText="1" indent="1"/>
      <protection hidden="1"/>
    </xf>
    <xf numFmtId="0" fontId="11" fillId="10" borderId="46" xfId="4" applyFont="1" applyFill="1" applyBorder="1" applyAlignment="1" applyProtection="1">
      <alignment horizontal="left" vertical="center" wrapText="1" indent="1"/>
      <protection hidden="1"/>
    </xf>
    <xf numFmtId="0" fontId="11" fillId="10" borderId="18" xfId="4" applyFont="1" applyFill="1" applyBorder="1" applyAlignment="1" applyProtection="1">
      <alignment horizontal="left" vertical="center" wrapText="1" indent="1"/>
      <protection hidden="1"/>
    </xf>
    <xf numFmtId="0" fontId="2" fillId="5" borderId="11" xfId="4" quotePrefix="1"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6" xfId="4" applyFont="1" applyFill="1" applyBorder="1" applyAlignment="1" applyProtection="1">
      <alignment horizontal="left" vertical="center" wrapText="1" indent="1"/>
      <protection hidden="1"/>
    </xf>
    <xf numFmtId="0" fontId="7" fillId="11" borderId="15" xfId="4" applyFont="1" applyFill="1" applyBorder="1" applyAlignment="1" applyProtection="1">
      <alignment horizontal="left" vertical="center" indent="1"/>
      <protection hidden="1"/>
    </xf>
    <xf numFmtId="0" fontId="7" fillId="11" borderId="11" xfId="4" applyFont="1" applyFill="1" applyBorder="1" applyAlignment="1" applyProtection="1">
      <alignment horizontal="left" vertical="center" indent="1"/>
      <protection hidden="1"/>
    </xf>
    <xf numFmtId="2" fontId="7" fillId="11" borderId="11" xfId="4" applyNumberFormat="1" applyFont="1" applyFill="1" applyBorder="1" applyAlignment="1" applyProtection="1">
      <alignment horizontal="center" vertical="center"/>
      <protection hidden="1"/>
    </xf>
    <xf numFmtId="0" fontId="7" fillId="10" borderId="11" xfId="4" applyFont="1" applyFill="1" applyBorder="1" applyAlignment="1" applyProtection="1">
      <alignment horizontal="center" vertical="center" wrapText="1"/>
      <protection hidden="1"/>
    </xf>
    <xf numFmtId="0" fontId="7" fillId="11" borderId="17" xfId="4" applyFont="1" applyFill="1" applyBorder="1" applyAlignment="1" applyProtection="1">
      <alignment horizontal="left" vertical="center" indent="1"/>
      <protection hidden="1"/>
    </xf>
    <xf numFmtId="0" fontId="7" fillId="11" borderId="46" xfId="4" applyFont="1" applyFill="1" applyBorder="1" applyAlignment="1" applyProtection="1">
      <alignment horizontal="left" vertical="center" indent="1"/>
      <protection hidden="1"/>
    </xf>
    <xf numFmtId="2" fontId="7" fillId="11" borderId="46" xfId="4" applyNumberFormat="1" applyFont="1" applyFill="1" applyBorder="1" applyAlignment="1" applyProtection="1">
      <alignment horizontal="center" vertical="center"/>
      <protection hidden="1"/>
    </xf>
    <xf numFmtId="0" fontId="7" fillId="10" borderId="46" xfId="4" applyFont="1" applyFill="1" applyBorder="1" applyAlignment="1" applyProtection="1">
      <alignment horizontal="center" vertical="center" wrapText="1"/>
      <protection hidden="1"/>
    </xf>
    <xf numFmtId="2" fontId="7" fillId="11" borderId="11" xfId="4" applyNumberFormat="1" applyFont="1" applyFill="1" applyBorder="1" applyAlignment="1" applyProtection="1">
      <alignment horizontal="center" vertical="center" wrapText="1"/>
      <protection hidden="1"/>
    </xf>
    <xf numFmtId="9" fontId="11" fillId="3" borderId="11" xfId="2" applyFont="1" applyFill="1" applyBorder="1" applyAlignment="1" applyProtection="1">
      <alignment horizontal="center" vertical="center" wrapText="1"/>
      <protection locked="0"/>
    </xf>
    <xf numFmtId="0" fontId="1" fillId="0" borderId="13" xfId="4" applyFont="1" applyBorder="1" applyAlignment="1" applyProtection="1">
      <alignment horizontal="center"/>
      <protection hidden="1"/>
    </xf>
    <xf numFmtId="0" fontId="1" fillId="0" borderId="45" xfId="4" applyFont="1" applyBorder="1" applyAlignment="1" applyProtection="1">
      <alignment horizontal="center"/>
      <protection hidden="1"/>
    </xf>
    <xf numFmtId="0" fontId="1" fillId="0" borderId="14" xfId="4" applyFont="1" applyBorder="1" applyAlignment="1" applyProtection="1">
      <alignment horizontal="center"/>
      <protection hidden="1"/>
    </xf>
    <xf numFmtId="0" fontId="11" fillId="0" borderId="15" xfId="4" applyFont="1" applyBorder="1" applyAlignment="1" applyProtection="1">
      <alignment horizontal="left" vertical="center" wrapText="1" indent="1"/>
      <protection hidden="1"/>
    </xf>
    <xf numFmtId="167" fontId="14" fillId="3" borderId="54" xfId="4" applyNumberFormat="1" applyFill="1" applyBorder="1" applyAlignment="1" applyProtection="1">
      <alignment horizontal="center" vertical="center"/>
      <protection locked="0"/>
    </xf>
    <xf numFmtId="0" fontId="2" fillId="5" borderId="1" xfId="4" applyFont="1" applyFill="1" applyBorder="1" applyAlignment="1" applyProtection="1">
      <alignment horizontal="left" vertical="center" wrapText="1" indent="1"/>
      <protection hidden="1"/>
    </xf>
    <xf numFmtId="0" fontId="2" fillId="5" borderId="19" xfId="4" applyFont="1" applyFill="1" applyBorder="1" applyAlignment="1" applyProtection="1">
      <alignment horizontal="left" vertical="center" wrapText="1" indent="1"/>
      <protection hidden="1"/>
    </xf>
    <xf numFmtId="0" fontId="2" fillId="5" borderId="2" xfId="4" applyFont="1" applyFill="1" applyBorder="1" applyAlignment="1" applyProtection="1">
      <alignment horizontal="left" vertical="center" wrapText="1" indent="1"/>
      <protection hidden="1"/>
    </xf>
    <xf numFmtId="0" fontId="1" fillId="0" borderId="29" xfId="4" applyFont="1" applyBorder="1" applyAlignment="1" applyProtection="1">
      <alignment horizontal="left" indent="1"/>
      <protection hidden="1"/>
    </xf>
    <xf numFmtId="0" fontId="1" fillId="0" borderId="32" xfId="4" applyFont="1" applyBorder="1" applyAlignment="1" applyProtection="1">
      <alignment horizontal="left" indent="1"/>
      <protection hidden="1"/>
    </xf>
    <xf numFmtId="0" fontId="1" fillId="0" borderId="30" xfId="4" applyFont="1" applyBorder="1" applyAlignment="1" applyProtection="1">
      <alignment horizontal="left" indent="1"/>
      <protection hidden="1"/>
    </xf>
    <xf numFmtId="0" fontId="1" fillId="0" borderId="31" xfId="4" applyFont="1" applyBorder="1" applyAlignment="1" applyProtection="1">
      <alignment horizontal="left" indent="1"/>
      <protection hidden="1"/>
    </xf>
    <xf numFmtId="0" fontId="11" fillId="11" borderId="110" xfId="4" applyFont="1" applyFill="1" applyBorder="1" applyAlignment="1" applyProtection="1">
      <alignment horizontal="left" vertical="center" indent="1"/>
      <protection hidden="1"/>
    </xf>
    <xf numFmtId="0" fontId="11" fillId="11" borderId="108" xfId="4" applyFont="1" applyFill="1" applyBorder="1" applyAlignment="1" applyProtection="1">
      <alignment horizontal="left" vertical="center" indent="1"/>
      <protection hidden="1"/>
    </xf>
    <xf numFmtId="0" fontId="14" fillId="3" borderId="108" xfId="4" applyFill="1" applyBorder="1" applyAlignment="1" applyProtection="1">
      <alignment horizontal="center"/>
      <protection locked="0"/>
    </xf>
    <xf numFmtId="0" fontId="11" fillId="11" borderId="108" xfId="4" applyFont="1" applyFill="1" applyBorder="1" applyAlignment="1" applyProtection="1">
      <alignment horizontal="center" vertical="center"/>
      <protection hidden="1"/>
    </xf>
    <xf numFmtId="0" fontId="1" fillId="0" borderId="108" xfId="4" applyFont="1" applyBorder="1" applyAlignment="1" applyProtection="1">
      <alignment horizontal="center"/>
      <protection hidden="1"/>
    </xf>
    <xf numFmtId="0" fontId="1" fillId="0" borderId="112" xfId="4" applyFont="1" applyBorder="1" applyAlignment="1" applyProtection="1">
      <alignment horizontal="center"/>
      <protection hidden="1"/>
    </xf>
    <xf numFmtId="0" fontId="2" fillId="5" borderId="0" xfId="4" applyFont="1" applyFill="1" applyAlignment="1" applyProtection="1">
      <alignment horizontal="center" vertical="center" wrapText="1"/>
      <protection hidden="1"/>
    </xf>
    <xf numFmtId="0" fontId="11" fillId="0" borderId="0" xfId="4" applyFont="1" applyProtection="1">
      <protection hidden="1"/>
    </xf>
    <xf numFmtId="0" fontId="11" fillId="0" borderId="0" xfId="0" applyFont="1" applyAlignment="1" applyProtection="1">
      <alignment horizontal="justify" vertical="top" wrapText="1"/>
      <protection hidden="1"/>
    </xf>
    <xf numFmtId="0" fontId="11" fillId="0" borderId="0" xfId="0" applyFont="1" applyAlignment="1" applyProtection="1">
      <alignment vertical="top" wrapText="1"/>
      <protection hidden="1"/>
    </xf>
    <xf numFmtId="0" fontId="8" fillId="2" borderId="29" xfId="0" applyFont="1" applyFill="1" applyBorder="1" applyAlignment="1" applyProtection="1">
      <alignment horizontal="center" vertical="center" wrapText="1"/>
      <protection hidden="1"/>
    </xf>
    <xf numFmtId="0" fontId="8" fillId="2" borderId="30"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11" fillId="10" borderId="45" xfId="4" applyFont="1" applyFill="1" applyBorder="1" applyAlignment="1" applyProtection="1">
      <alignment horizontal="left" vertical="center" wrapText="1" indent="1"/>
      <protection hidden="1"/>
    </xf>
    <xf numFmtId="0" fontId="11" fillId="3" borderId="13" xfId="4" applyFont="1" applyFill="1" applyBorder="1" applyAlignment="1" applyProtection="1">
      <alignment horizontal="left" vertical="center" wrapText="1" indent="1"/>
      <protection locked="0"/>
    </xf>
    <xf numFmtId="0" fontId="11" fillId="3" borderId="45" xfId="4" applyFont="1" applyFill="1" applyBorder="1" applyAlignment="1" applyProtection="1">
      <alignment horizontal="left" vertical="center" wrapText="1" indent="1"/>
      <protection locked="0"/>
    </xf>
    <xf numFmtId="0" fontId="11" fillId="3" borderId="14" xfId="4" applyFont="1" applyFill="1" applyBorder="1" applyAlignment="1" applyProtection="1">
      <alignment horizontal="left" vertical="center" wrapText="1" indent="1"/>
      <protection locked="0"/>
    </xf>
    <xf numFmtId="0" fontId="8" fillId="2" borderId="31" xfId="0" applyFont="1" applyFill="1" applyBorder="1" applyAlignment="1" applyProtection="1">
      <alignment horizontal="center" vertical="center" wrapText="1"/>
      <protection hidden="1"/>
    </xf>
    <xf numFmtId="0" fontId="14" fillId="0" borderId="0" xfId="0" applyFont="1" applyProtection="1">
      <protection hidden="1"/>
    </xf>
    <xf numFmtId="0" fontId="26" fillId="10" borderId="67" xfId="4" applyFont="1" applyFill="1" applyBorder="1" applyAlignment="1" applyProtection="1">
      <alignment horizontal="left" vertical="center" wrapText="1" indent="1"/>
      <protection locked="0"/>
    </xf>
    <xf numFmtId="0" fontId="26" fillId="10" borderId="69" xfId="4" applyFont="1" applyFill="1" applyBorder="1" applyAlignment="1" applyProtection="1">
      <alignment horizontal="center" vertical="center" wrapText="1"/>
      <protection locked="0"/>
    </xf>
    <xf numFmtId="0" fontId="26" fillId="10" borderId="70" xfId="4" applyFont="1" applyFill="1" applyBorder="1" applyAlignment="1" applyProtection="1">
      <alignment horizontal="center" vertical="center" wrapText="1"/>
      <protection locked="0"/>
    </xf>
    <xf numFmtId="0" fontId="26" fillId="10" borderId="101" xfId="4" applyFont="1" applyFill="1" applyBorder="1" applyAlignment="1" applyProtection="1">
      <alignment horizontal="center" vertical="center" wrapText="1"/>
      <protection locked="0"/>
    </xf>
    <xf numFmtId="0" fontId="26" fillId="10" borderId="71" xfId="4" applyFont="1" applyFill="1" applyBorder="1" applyAlignment="1" applyProtection="1">
      <alignment horizontal="center" vertical="center" wrapText="1"/>
      <protection locked="0"/>
    </xf>
    <xf numFmtId="0" fontId="26" fillId="10" borderId="0" xfId="4" applyFont="1" applyFill="1" applyAlignment="1" applyProtection="1">
      <alignment horizontal="center" vertical="center" wrapText="1"/>
      <protection locked="0"/>
    </xf>
    <xf numFmtId="0" fontId="26" fillId="10" borderId="96" xfId="4" applyFont="1" applyFill="1" applyBorder="1" applyAlignment="1" applyProtection="1">
      <alignment horizontal="center" vertical="center" wrapText="1"/>
      <protection locked="0"/>
    </xf>
    <xf numFmtId="0" fontId="26" fillId="10" borderId="104" xfId="4" applyFont="1" applyFill="1" applyBorder="1" applyAlignment="1" applyProtection="1">
      <alignment horizontal="center" vertical="center" wrapText="1"/>
      <protection locked="0"/>
    </xf>
    <xf numFmtId="0" fontId="26" fillId="10" borderId="105" xfId="4" applyFont="1" applyFill="1" applyBorder="1" applyAlignment="1" applyProtection="1">
      <alignment horizontal="center" vertical="center" wrapText="1"/>
      <protection locked="0"/>
    </xf>
    <xf numFmtId="0" fontId="26" fillId="10" borderId="106" xfId="4" applyFont="1" applyFill="1" applyBorder="1" applyAlignment="1" applyProtection="1">
      <alignment horizontal="center" vertical="center" wrapText="1"/>
      <protection locked="0"/>
    </xf>
    <xf numFmtId="0" fontId="26" fillId="10" borderId="103"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center" vertical="center" wrapText="1"/>
      <protection locked="0"/>
    </xf>
    <xf numFmtId="0" fontId="26" fillId="10" borderId="73" xfId="4" applyFont="1" applyFill="1" applyBorder="1" applyAlignment="1" applyProtection="1">
      <alignment horizontal="center" vertical="center" wrapText="1"/>
      <protection locked="0"/>
    </xf>
    <xf numFmtId="0" fontId="26" fillId="10" borderId="97" xfId="4" applyFont="1" applyFill="1" applyBorder="1" applyAlignment="1" applyProtection="1">
      <alignment horizontal="center" vertical="center" wrapText="1"/>
      <protection locked="0"/>
    </xf>
    <xf numFmtId="0" fontId="25" fillId="0" borderId="99" xfId="4" applyFont="1" applyBorder="1" applyAlignment="1" applyProtection="1">
      <alignment horizontal="center"/>
      <protection locked="0"/>
    </xf>
    <xf numFmtId="0" fontId="25" fillId="0" borderId="66" xfId="4" applyFont="1" applyBorder="1" applyAlignment="1" applyProtection="1">
      <alignment horizontal="center"/>
      <protection locked="0"/>
    </xf>
    <xf numFmtId="0" fontId="25" fillId="0" borderId="65" xfId="4" applyFont="1" applyBorder="1" applyAlignment="1" applyProtection="1">
      <alignment horizontal="center"/>
      <protection locked="0"/>
    </xf>
    <xf numFmtId="0" fontId="25" fillId="0" borderId="68" xfId="4" applyFont="1" applyBorder="1" applyAlignment="1" applyProtection="1">
      <alignment horizontal="center"/>
      <protection locked="0"/>
    </xf>
    <xf numFmtId="0" fontId="25" fillId="0" borderId="67" xfId="4" applyFont="1" applyBorder="1" applyAlignment="1" applyProtection="1">
      <alignment horizontal="left" indent="1"/>
      <protection locked="0"/>
    </xf>
    <xf numFmtId="0" fontId="25" fillId="0" borderId="100" xfId="4" applyFont="1" applyBorder="1" applyAlignment="1" applyProtection="1">
      <alignment horizontal="left" indent="1"/>
      <protection locked="0"/>
    </xf>
    <xf numFmtId="0" fontId="23" fillId="0" borderId="70" xfId="4" applyFont="1" applyBorder="1" applyAlignment="1" applyProtection="1">
      <alignment horizontal="left" indent="1"/>
      <protection locked="0"/>
    </xf>
    <xf numFmtId="0" fontId="26" fillId="10" borderId="91" xfId="4" applyFont="1" applyFill="1" applyBorder="1" applyAlignment="1" applyProtection="1">
      <alignment horizontal="left" vertical="center" wrapText="1" indent="1"/>
      <protection locked="0"/>
    </xf>
    <xf numFmtId="0" fontId="40" fillId="0" borderId="74" xfId="5" applyFont="1" applyBorder="1" applyAlignment="1">
      <alignment horizontal="left" vertical="top" wrapText="1"/>
    </xf>
    <xf numFmtId="0" fontId="40" fillId="0" borderId="75" xfId="5" applyFont="1" applyBorder="1" applyAlignment="1">
      <alignment horizontal="left" vertical="top" wrapText="1"/>
    </xf>
    <xf numFmtId="0" fontId="40" fillId="0" borderId="82" xfId="5" applyFont="1" applyBorder="1" applyAlignment="1">
      <alignment horizontal="left" vertical="top" wrapText="1"/>
    </xf>
    <xf numFmtId="0" fontId="40" fillId="0" borderId="0" xfId="5" applyFont="1" applyAlignment="1">
      <alignment horizontal="left" vertical="top" wrapText="1"/>
    </xf>
    <xf numFmtId="0" fontId="40" fillId="0" borderId="86" xfId="5" applyFont="1" applyBorder="1" applyAlignment="1">
      <alignment horizontal="left" vertical="top" wrapText="1"/>
    </xf>
    <xf numFmtId="0" fontId="40" fillId="0" borderId="88" xfId="5" applyFont="1" applyBorder="1" applyAlignment="1">
      <alignment horizontal="left" vertical="top" wrapText="1"/>
    </xf>
    <xf numFmtId="0" fontId="36" fillId="19" borderId="77" xfId="5" applyFont="1" applyFill="1" applyBorder="1" applyAlignment="1">
      <alignment horizontal="center" vertical="center" textRotation="90" wrapText="1"/>
    </xf>
    <xf numFmtId="0" fontId="36" fillId="19" borderId="84" xfId="5" applyFont="1" applyFill="1" applyBorder="1" applyAlignment="1">
      <alignment horizontal="center" vertical="center" textRotation="90" wrapText="1"/>
    </xf>
    <xf numFmtId="0" fontId="36" fillId="19" borderId="85" xfId="5" applyFont="1" applyFill="1" applyBorder="1" applyAlignment="1">
      <alignment horizontal="center" vertical="center" textRotation="90" wrapText="1"/>
    </xf>
    <xf numFmtId="0" fontId="0" fillId="0" borderId="53" xfId="0" applyBorder="1" applyAlignment="1">
      <alignment horizontal="center"/>
    </xf>
    <xf numFmtId="0" fontId="26" fillId="10" borderId="92" xfId="4" applyFont="1" applyFill="1" applyBorder="1" applyAlignment="1" applyProtection="1">
      <alignment horizontal="left" vertical="center" wrapText="1" indent="1"/>
      <protection locked="0"/>
    </xf>
    <xf numFmtId="0" fontId="26" fillId="10" borderId="93" xfId="4" applyFont="1" applyFill="1" applyBorder="1" applyAlignment="1" applyProtection="1">
      <alignment horizontal="left" vertical="center" wrapText="1" indent="1"/>
      <protection locked="0"/>
    </xf>
    <xf numFmtId="0" fontId="26" fillId="10" borderId="94"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left" vertical="center" wrapText="1" indent="1"/>
      <protection locked="0"/>
    </xf>
    <xf numFmtId="0" fontId="26" fillId="10" borderId="0" xfId="4" applyFont="1" applyFill="1" applyAlignment="1" applyProtection="1">
      <alignment horizontal="left" vertical="center" wrapText="1" indent="1"/>
      <protection locked="0"/>
    </xf>
    <xf numFmtId="0" fontId="26" fillId="10" borderId="96"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left" vertical="center" wrapText="1" indent="1"/>
      <protection locked="0"/>
    </xf>
    <xf numFmtId="0" fontId="26" fillId="10" borderId="73" xfId="4" applyFont="1" applyFill="1" applyBorder="1" applyAlignment="1" applyProtection="1">
      <alignment horizontal="left" vertical="center" wrapText="1" indent="1"/>
      <protection locked="0"/>
    </xf>
    <xf numFmtId="0" fontId="26" fillId="10" borderId="97" xfId="4" applyFont="1" applyFill="1" applyBorder="1" applyAlignment="1" applyProtection="1">
      <alignment horizontal="left" vertical="center" wrapText="1" indent="1"/>
      <protection locked="0"/>
    </xf>
    <xf numFmtId="0" fontId="26" fillId="10" borderId="67" xfId="4" applyFont="1" applyFill="1" applyBorder="1" applyAlignment="1" applyProtection="1">
      <alignment horizontal="left" vertical="center" indent="1"/>
      <protection locked="0"/>
    </xf>
    <xf numFmtId="0" fontId="39" fillId="0" borderId="82" xfId="5" applyFont="1" applyBorder="1" applyAlignment="1">
      <alignment horizontal="right" vertical="center" wrapText="1" indent="3"/>
    </xf>
    <xf numFmtId="0" fontId="39" fillId="0" borderId="0" xfId="5" applyFont="1" applyAlignment="1">
      <alignment horizontal="right" vertical="center" wrapText="1" indent="3"/>
    </xf>
    <xf numFmtId="0" fontId="39" fillId="0" borderId="83" xfId="5" applyFont="1" applyBorder="1" applyAlignment="1">
      <alignment horizontal="right" vertical="center" wrapText="1" indent="3"/>
    </xf>
    <xf numFmtId="0" fontId="39" fillId="0" borderId="86" xfId="5" applyFont="1" applyBorder="1" applyAlignment="1">
      <alignment horizontal="right" vertical="center" wrapText="1" indent="3"/>
    </xf>
    <xf numFmtId="0" fontId="39" fillId="0" borderId="88" xfId="5" applyFont="1" applyBorder="1" applyAlignment="1">
      <alignment horizontal="right" vertical="center" wrapText="1" indent="3"/>
    </xf>
    <xf numFmtId="0" fontId="39" fillId="0" borderId="87" xfId="5" applyFont="1" applyBorder="1" applyAlignment="1">
      <alignment horizontal="right" vertical="center" wrapText="1" indent="3"/>
    </xf>
    <xf numFmtId="0" fontId="33" fillId="0" borderId="82" xfId="5" applyBorder="1" applyAlignment="1">
      <alignment horizontal="left" vertical="top" wrapText="1"/>
    </xf>
    <xf numFmtId="0" fontId="33" fillId="0" borderId="0" xfId="5" applyAlignment="1">
      <alignment horizontal="left" vertical="top" wrapText="1"/>
    </xf>
    <xf numFmtId="0" fontId="33" fillId="0" borderId="83" xfId="5" applyBorder="1" applyAlignment="1">
      <alignment horizontal="left" vertical="top" wrapText="1"/>
    </xf>
    <xf numFmtId="0" fontId="33" fillId="0" borderId="86" xfId="5" applyBorder="1" applyAlignment="1">
      <alignment horizontal="left" vertical="top" wrapText="1"/>
    </xf>
    <xf numFmtId="0" fontId="33" fillId="0" borderId="88" xfId="5" applyBorder="1" applyAlignment="1">
      <alignment horizontal="left" vertical="top" wrapText="1"/>
    </xf>
    <xf numFmtId="0" fontId="33" fillId="0" borderId="87" xfId="5" applyBorder="1" applyAlignment="1">
      <alignment horizontal="left" vertical="top" wrapText="1"/>
    </xf>
    <xf numFmtId="0" fontId="33" fillId="0" borderId="82" xfId="5" applyBorder="1" applyAlignment="1">
      <alignment horizontal="left" vertical="center" wrapText="1"/>
    </xf>
    <xf numFmtId="0" fontId="33" fillId="0" borderId="0" xfId="5" applyAlignment="1">
      <alignment horizontal="left" vertical="center" wrapText="1"/>
    </xf>
    <xf numFmtId="0" fontId="33" fillId="0" borderId="83" xfId="5" applyBorder="1" applyAlignment="1">
      <alignment horizontal="left" vertical="center" wrapText="1"/>
    </xf>
    <xf numFmtId="0" fontId="33" fillId="21" borderId="74" xfId="5" applyFill="1" applyBorder="1" applyAlignment="1">
      <alignment horizontal="left" vertical="center" wrapText="1"/>
    </xf>
    <xf numFmtId="0" fontId="33" fillId="21" borderId="76" xfId="5" applyFill="1" applyBorder="1" applyAlignment="1">
      <alignment horizontal="left" vertical="center" wrapText="1"/>
    </xf>
    <xf numFmtId="0" fontId="33" fillId="21" borderId="86" xfId="5" applyFill="1" applyBorder="1" applyAlignment="1">
      <alignment horizontal="left" vertical="center" wrapText="1"/>
    </xf>
    <xf numFmtId="0" fontId="33" fillId="21" borderId="87" xfId="5" applyFill="1" applyBorder="1" applyAlignment="1">
      <alignment horizontal="left" vertical="center" wrapText="1"/>
    </xf>
    <xf numFmtId="0" fontId="37" fillId="19" borderId="77" xfId="5" applyFont="1" applyFill="1" applyBorder="1" applyAlignment="1">
      <alignment horizontal="center" vertical="center" textRotation="90" wrapText="1"/>
    </xf>
    <xf numFmtId="0" fontId="37" fillId="19" borderId="84" xfId="5" applyFont="1" applyFill="1" applyBorder="1" applyAlignment="1">
      <alignment horizontal="center" vertical="center" textRotation="90" wrapText="1"/>
    </xf>
    <xf numFmtId="0" fontId="33" fillId="0" borderId="86" xfId="5" applyBorder="1" applyAlignment="1">
      <alignment horizontal="left" wrapText="1"/>
    </xf>
    <xf numFmtId="0" fontId="33" fillId="0" borderId="88" xfId="5" applyBorder="1" applyAlignment="1">
      <alignment horizontal="left" wrapText="1"/>
    </xf>
    <xf numFmtId="0" fontId="33" fillId="21" borderId="81" xfId="5" applyFill="1" applyBorder="1" applyAlignment="1">
      <alignment horizontal="left" wrapText="1"/>
    </xf>
    <xf numFmtId="0" fontId="33" fillId="0" borderId="87" xfId="5" applyBorder="1" applyAlignment="1">
      <alignment horizontal="left"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3" fillId="0" borderId="86" xfId="5" applyBorder="1" applyAlignment="1">
      <alignment horizontal="left" vertical="center" wrapText="1"/>
    </xf>
    <xf numFmtId="0" fontId="33" fillId="0" borderId="87" xfId="5" applyBorder="1" applyAlignment="1">
      <alignment horizontal="left" vertical="center" wrapText="1"/>
    </xf>
    <xf numFmtId="0" fontId="39" fillId="0" borderId="82" xfId="5" applyFont="1" applyBorder="1" applyAlignment="1">
      <alignment horizontal="right" vertical="top" wrapText="1" indent="1"/>
    </xf>
    <xf numFmtId="0" fontId="39" fillId="0" borderId="0" xfId="5" applyFont="1" applyAlignment="1">
      <alignment horizontal="right" vertical="top" wrapText="1" indent="1"/>
    </xf>
    <xf numFmtId="0" fontId="39" fillId="0" borderId="83" xfId="5" applyFont="1" applyBorder="1" applyAlignment="1">
      <alignment horizontal="right" vertical="top" wrapText="1" indent="1"/>
    </xf>
    <xf numFmtId="0" fontId="39" fillId="0" borderId="86" xfId="5" applyFont="1" applyBorder="1" applyAlignment="1">
      <alignment horizontal="right" vertical="top" wrapText="1" indent="1"/>
    </xf>
    <xf numFmtId="0" fontId="39" fillId="0" borderId="88" xfId="5" applyFont="1" applyBorder="1" applyAlignment="1">
      <alignment horizontal="right" vertical="top" wrapText="1" indent="1"/>
    </xf>
    <xf numFmtId="0" fontId="39" fillId="0" borderId="87" xfId="5" applyFont="1" applyBorder="1" applyAlignment="1">
      <alignment horizontal="right" vertical="top" wrapText="1" indent="1"/>
    </xf>
    <xf numFmtId="0" fontId="33" fillId="0" borderId="88" xfId="5" applyBorder="1" applyAlignment="1">
      <alignment horizontal="left" vertical="center" wrapText="1"/>
    </xf>
    <xf numFmtId="0" fontId="33" fillId="0" borderId="75" xfId="5" applyBorder="1" applyAlignment="1">
      <alignment horizontal="left" wrapText="1"/>
    </xf>
    <xf numFmtId="0" fontId="33" fillId="0" borderId="76" xfId="5" applyBorder="1" applyAlignment="1">
      <alignment horizontal="left" wrapText="1"/>
    </xf>
    <xf numFmtId="0" fontId="33" fillId="0" borderId="74" xfId="5" applyBorder="1" applyAlignment="1">
      <alignment horizontal="left" wrapText="1"/>
    </xf>
    <xf numFmtId="0" fontId="33" fillId="0" borderId="78" xfId="5" applyBorder="1" applyAlignment="1">
      <alignment horizontal="left" wrapText="1"/>
    </xf>
    <xf numFmtId="0" fontId="33" fillId="0" borderId="81" xfId="5" applyBorder="1" applyAlignment="1">
      <alignment horizontal="left" wrapText="1"/>
    </xf>
    <xf numFmtId="0" fontId="36" fillId="19" borderId="77" xfId="5" applyFont="1" applyFill="1" applyBorder="1" applyAlignment="1">
      <alignment horizontal="left" vertical="top" wrapText="1" indent="1"/>
    </xf>
    <xf numFmtId="0" fontId="36" fillId="19" borderId="85" xfId="5" applyFont="1" applyFill="1" applyBorder="1" applyAlignment="1">
      <alignment horizontal="left" vertical="top" wrapText="1" indent="1"/>
    </xf>
    <xf numFmtId="0" fontId="37" fillId="19" borderId="78" xfId="5" applyFont="1" applyFill="1" applyBorder="1" applyAlignment="1">
      <alignment horizontal="left" vertical="top" wrapText="1"/>
    </xf>
    <xf numFmtId="0" fontId="36" fillId="19" borderId="81" xfId="5" applyFont="1" applyFill="1" applyBorder="1" applyAlignment="1">
      <alignment horizontal="left" vertical="top" wrapText="1"/>
    </xf>
    <xf numFmtId="0" fontId="33" fillId="0" borderId="77" xfId="5" applyBorder="1" applyAlignment="1">
      <alignment horizontal="left" vertical="top" wrapText="1"/>
    </xf>
    <xf numFmtId="0" fontId="33" fillId="0" borderId="84" xfId="5" applyBorder="1" applyAlignment="1">
      <alignment horizontal="left" vertical="top" wrapText="1"/>
    </xf>
    <xf numFmtId="0" fontId="33" fillId="0" borderId="85" xfId="5" applyBorder="1" applyAlignment="1">
      <alignment horizontal="left" vertical="top" wrapText="1"/>
    </xf>
    <xf numFmtId="0" fontId="36" fillId="19" borderId="78" xfId="5" applyFont="1" applyFill="1" applyBorder="1" applyAlignment="1">
      <alignment horizontal="left" vertical="top" wrapText="1" indent="9"/>
    </xf>
    <xf numFmtId="0" fontId="36" fillId="19" borderId="81" xfId="5" applyFont="1" applyFill="1" applyBorder="1" applyAlignment="1">
      <alignment horizontal="left" vertical="top" wrapText="1" indent="9"/>
    </xf>
    <xf numFmtId="0" fontId="36" fillId="19" borderId="79" xfId="5" applyFont="1" applyFill="1" applyBorder="1" applyAlignment="1">
      <alignment horizontal="left" vertical="top" wrapText="1" indent="9"/>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6" fillId="19" borderId="78" xfId="5" applyFont="1" applyFill="1" applyBorder="1" applyAlignment="1">
      <alignment horizontal="left" vertical="top" wrapText="1"/>
    </xf>
    <xf numFmtId="0" fontId="36" fillId="19" borderId="79" xfId="5" applyFont="1" applyFill="1" applyBorder="1" applyAlignment="1">
      <alignment horizontal="left" vertical="top" wrapText="1"/>
    </xf>
    <xf numFmtId="0" fontId="33" fillId="0" borderId="74" xfId="5" applyBorder="1" applyAlignment="1">
      <alignment horizontal="left" vertical="center" wrapText="1"/>
    </xf>
    <xf numFmtId="0" fontId="33" fillId="0" borderId="76" xfId="5" applyBorder="1" applyAlignment="1">
      <alignment horizontal="left" vertical="center" wrapText="1"/>
    </xf>
    <xf numFmtId="0" fontId="11" fillId="11" borderId="15" xfId="0" applyFont="1" applyFill="1" applyBorder="1" applyAlignment="1">
      <alignment horizontal="left" vertical="center" wrapText="1" indent="1"/>
    </xf>
    <xf numFmtId="0" fontId="11" fillId="11" borderId="17" xfId="0" applyFont="1" applyFill="1" applyBorder="1" applyAlignment="1">
      <alignment horizontal="left" vertical="center" wrapText="1" indent="1"/>
    </xf>
    <xf numFmtId="9" fontId="0" fillId="3" borderId="114" xfId="0" applyNumberFormat="1" applyFill="1" applyBorder="1" applyAlignment="1" applyProtection="1">
      <alignment horizontal="center" vertical="center"/>
      <protection locked="0"/>
    </xf>
    <xf numFmtId="9" fontId="0" fillId="3" borderId="117" xfId="0" applyNumberFormat="1" applyFill="1" applyBorder="1" applyAlignment="1" applyProtection="1">
      <alignment horizontal="center" vertical="center"/>
      <protection locked="0"/>
    </xf>
    <xf numFmtId="9" fontId="0" fillId="3" borderId="112" xfId="0" applyNumberFormat="1" applyFill="1" applyBorder="1" applyAlignment="1" applyProtection="1">
      <alignment horizontal="center" vertical="center"/>
      <protection locked="0"/>
    </xf>
    <xf numFmtId="0" fontId="2" fillId="5" borderId="0" xfId="4" applyFont="1" applyFill="1" applyAlignment="1" applyProtection="1">
      <alignment horizontal="left" vertical="center" wrapText="1" indent="1"/>
      <protection hidden="1"/>
    </xf>
    <xf numFmtId="0" fontId="2" fillId="5" borderId="0" xfId="0" applyFont="1" applyFill="1" applyAlignment="1">
      <alignment horizontal="center" vertical="center"/>
    </xf>
    <xf numFmtId="0" fontId="2" fillId="2" borderId="8" xfId="0" applyFont="1" applyFill="1" applyBorder="1" applyAlignment="1" applyProtection="1">
      <alignment horizontal="right" vertical="center"/>
      <protection hidden="1"/>
    </xf>
    <xf numFmtId="0" fontId="2" fillId="2" borderId="9" xfId="0" applyFont="1" applyFill="1" applyBorder="1" applyAlignment="1" applyProtection="1">
      <alignment horizontal="right" vertical="center"/>
      <protection hidden="1"/>
    </xf>
    <xf numFmtId="0" fontId="55" fillId="5" borderId="0" xfId="0" quotePrefix="1" applyFont="1" applyFill="1" applyAlignment="1" applyProtection="1">
      <alignment horizontal="center" vertical="center" wrapText="1"/>
      <protection hidden="1"/>
    </xf>
    <xf numFmtId="0" fontId="0" fillId="0" borderId="0" xfId="0" applyAlignment="1" applyProtection="1">
      <alignment horizontal="center"/>
      <protection locked="0"/>
    </xf>
    <xf numFmtId="0" fontId="2" fillId="5" borderId="0" xfId="0" quotePrefix="1" applyFont="1" applyFill="1" applyAlignment="1" applyProtection="1">
      <alignment horizontal="justify" vertical="top" wrapText="1"/>
      <protection hidden="1"/>
    </xf>
    <xf numFmtId="0" fontId="2" fillId="2" borderId="42" xfId="0" applyFont="1" applyFill="1" applyBorder="1" applyAlignment="1" applyProtection="1">
      <alignment horizontal="left" vertical="center" wrapText="1"/>
      <protection locked="0"/>
    </xf>
    <xf numFmtId="0" fontId="9" fillId="0" borderId="11" xfId="1" applyBorder="1" applyAlignment="1" applyProtection="1">
      <alignment horizontal="center" vertical="center"/>
      <protection hidden="1"/>
    </xf>
    <xf numFmtId="0" fontId="2" fillId="5" borderId="0" xfId="0" applyFont="1" applyFill="1" applyAlignment="1" applyProtection="1">
      <alignment vertical="center" wrapText="1"/>
      <protection hidden="1"/>
    </xf>
    <xf numFmtId="0" fontId="9" fillId="10" borderId="3" xfId="1" quotePrefix="1" applyFill="1" applyBorder="1" applyAlignment="1" applyProtection="1">
      <alignment horizontal="center" vertical="center" wrapText="1"/>
      <protection hidden="1"/>
    </xf>
    <xf numFmtId="0" fontId="9" fillId="10" borderId="4" xfId="1" quotePrefix="1" applyFill="1" applyBorder="1" applyAlignment="1" applyProtection="1">
      <alignment horizontal="center" vertical="center" wrapText="1"/>
      <protection hidden="1"/>
    </xf>
    <xf numFmtId="0" fontId="9" fillId="10" borderId="5" xfId="1" quotePrefix="1" applyFill="1" applyBorder="1" applyAlignment="1" applyProtection="1">
      <alignment horizontal="center" vertical="center" wrapText="1"/>
      <protection hidden="1"/>
    </xf>
    <xf numFmtId="0" fontId="9" fillId="10" borderId="6" xfId="1" quotePrefix="1" applyFill="1" applyBorder="1" applyAlignment="1" applyProtection="1">
      <alignment horizontal="center" vertical="center" wrapText="1"/>
      <protection hidden="1"/>
    </xf>
    <xf numFmtId="0" fontId="9" fillId="10" borderId="0" xfId="1" quotePrefix="1" applyFill="1" applyAlignment="1" applyProtection="1">
      <alignment horizontal="center" vertical="center" wrapText="1"/>
      <protection hidden="1"/>
    </xf>
    <xf numFmtId="0" fontId="9" fillId="10" borderId="7" xfId="1" quotePrefix="1" applyFill="1" applyBorder="1" applyAlignment="1" applyProtection="1">
      <alignment horizontal="center" vertical="center" wrapText="1"/>
      <protection hidden="1"/>
    </xf>
    <xf numFmtId="0" fontId="9" fillId="10" borderId="8" xfId="1" quotePrefix="1" applyFill="1" applyBorder="1" applyAlignment="1" applyProtection="1">
      <alignment horizontal="center" vertical="center" wrapText="1"/>
      <protection hidden="1"/>
    </xf>
    <xf numFmtId="0" fontId="9" fillId="10" borderId="9" xfId="1" quotePrefix="1" applyFill="1" applyBorder="1" applyAlignment="1" applyProtection="1">
      <alignment horizontal="center" vertical="center" wrapText="1"/>
      <protection hidden="1"/>
    </xf>
    <xf numFmtId="0" fontId="9" fillId="10" borderId="10" xfId="1" quotePrefix="1" applyFill="1" applyBorder="1" applyAlignment="1" applyProtection="1">
      <alignment horizontal="center" vertical="center" wrapText="1"/>
      <protection hidden="1"/>
    </xf>
    <xf numFmtId="0" fontId="18" fillId="0" borderId="21"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 fillId="5" borderId="0" xfId="0" quotePrefix="1" applyFont="1" applyFill="1" applyAlignment="1" applyProtection="1">
      <alignment horizontal="justify" vertical="center" wrapText="1"/>
      <protection hidden="1"/>
    </xf>
    <xf numFmtId="0" fontId="18" fillId="0" borderId="44" xfId="0" applyFont="1" applyBorder="1" applyAlignment="1" applyProtection="1">
      <alignment horizontal="center" vertical="center" wrapText="1"/>
      <protection locked="0"/>
    </xf>
    <xf numFmtId="0" fontId="18" fillId="10" borderId="3" xfId="0" quotePrefix="1" applyFont="1" applyFill="1" applyBorder="1" applyAlignment="1" applyProtection="1">
      <alignment horizontal="center" vertical="center" wrapText="1"/>
      <protection hidden="1"/>
    </xf>
    <xf numFmtId="0" fontId="18" fillId="10" borderId="4" xfId="0" quotePrefix="1" applyFont="1" applyFill="1" applyBorder="1" applyAlignment="1" applyProtection="1">
      <alignment horizontal="center" vertical="center" wrapText="1"/>
      <protection hidden="1"/>
    </xf>
    <xf numFmtId="0" fontId="18" fillId="10" borderId="5" xfId="0" quotePrefix="1" applyFont="1" applyFill="1" applyBorder="1" applyAlignment="1" applyProtection="1">
      <alignment horizontal="center" vertical="center" wrapText="1"/>
      <protection hidden="1"/>
    </xf>
    <xf numFmtId="0" fontId="18" fillId="10" borderId="6" xfId="0" quotePrefix="1" applyFont="1" applyFill="1" applyBorder="1" applyAlignment="1" applyProtection="1">
      <alignment horizontal="center" vertical="center" wrapText="1"/>
      <protection hidden="1"/>
    </xf>
    <xf numFmtId="0" fontId="18" fillId="10" borderId="0" xfId="0" quotePrefix="1" applyFont="1" applyFill="1" applyAlignment="1" applyProtection="1">
      <alignment horizontal="center" vertical="center" wrapText="1"/>
      <protection hidden="1"/>
    </xf>
    <xf numFmtId="0" fontId="18" fillId="10" borderId="7" xfId="0" quotePrefix="1" applyFont="1" applyFill="1" applyBorder="1" applyAlignment="1" applyProtection="1">
      <alignment horizontal="center" vertical="center" wrapText="1"/>
      <protection hidden="1"/>
    </xf>
    <xf numFmtId="0" fontId="18" fillId="10" borderId="8" xfId="0" quotePrefix="1" applyFont="1" applyFill="1" applyBorder="1" applyAlignment="1" applyProtection="1">
      <alignment horizontal="center" vertical="center" wrapText="1"/>
      <protection hidden="1"/>
    </xf>
    <xf numFmtId="0" fontId="18" fillId="10" borderId="9" xfId="0" quotePrefix="1" applyFont="1" applyFill="1" applyBorder="1" applyAlignment="1" applyProtection="1">
      <alignment horizontal="center" vertical="center" wrapText="1"/>
      <protection hidden="1"/>
    </xf>
    <xf numFmtId="0" fontId="18" fillId="10" borderId="10" xfId="0" quotePrefix="1" applyFont="1" applyFill="1" applyBorder="1" applyAlignment="1" applyProtection="1">
      <alignment horizontal="center" vertical="center" wrapText="1"/>
      <protection hidden="1"/>
    </xf>
    <xf numFmtId="0" fontId="7" fillId="2" borderId="8" xfId="0" applyFont="1" applyFill="1" applyBorder="1" applyAlignment="1" applyProtection="1">
      <alignment horizontal="right" vertical="center"/>
      <protection hidden="1"/>
    </xf>
    <xf numFmtId="0" fontId="7" fillId="2" borderId="9" xfId="0" applyFont="1" applyFill="1" applyBorder="1" applyAlignment="1" applyProtection="1">
      <alignment horizontal="right" vertical="center"/>
      <protection hidden="1"/>
    </xf>
    <xf numFmtId="0" fontId="2" fillId="5" borderId="3" xfId="0" quotePrefix="1" applyFont="1" applyFill="1" applyBorder="1" applyAlignment="1" applyProtection="1">
      <alignment horizontal="justify" vertical="center" wrapText="1"/>
      <protection hidden="1"/>
    </xf>
    <xf numFmtId="0" fontId="2" fillId="5" borderId="5" xfId="0" quotePrefix="1" applyFont="1" applyFill="1" applyBorder="1" applyAlignment="1" applyProtection="1">
      <alignment horizontal="justify" vertical="center" wrapText="1"/>
      <protection hidden="1"/>
    </xf>
    <xf numFmtId="0" fontId="2" fillId="5" borderId="6" xfId="0" quotePrefix="1" applyFont="1" applyFill="1" applyBorder="1" applyAlignment="1" applyProtection="1">
      <alignment horizontal="justify" vertical="center" wrapText="1"/>
      <protection hidden="1"/>
    </xf>
    <xf numFmtId="0" fontId="2" fillId="5" borderId="7" xfId="0" quotePrefix="1" applyFont="1" applyFill="1" applyBorder="1" applyAlignment="1" applyProtection="1">
      <alignment horizontal="justify" vertical="center" wrapText="1"/>
      <protection hidden="1"/>
    </xf>
    <xf numFmtId="0" fontId="2" fillId="5" borderId="8" xfId="0" quotePrefix="1" applyFont="1" applyFill="1" applyBorder="1" applyAlignment="1" applyProtection="1">
      <alignment horizontal="justify" vertical="center" wrapText="1"/>
      <protection hidden="1"/>
    </xf>
    <xf numFmtId="0" fontId="2" fillId="5" borderId="10" xfId="0" quotePrefix="1" applyFont="1" applyFill="1" applyBorder="1" applyAlignment="1" applyProtection="1">
      <alignment horizontal="justify" vertical="center" wrapText="1"/>
      <protection hidden="1"/>
    </xf>
    <xf numFmtId="2" fontId="68" fillId="2" borderId="5" xfId="0" applyNumberFormat="1" applyFont="1" applyFill="1" applyBorder="1" applyAlignment="1" applyProtection="1">
      <alignment horizontal="center" vertical="center" wrapText="1"/>
      <protection hidden="1"/>
    </xf>
    <xf numFmtId="2" fontId="68" fillId="2" borderId="10" xfId="0" applyNumberFormat="1" applyFont="1" applyFill="1" applyBorder="1" applyAlignment="1" applyProtection="1">
      <alignment horizontal="center" vertical="center" wrapText="1"/>
      <protection hidden="1"/>
    </xf>
    <xf numFmtId="0" fontId="7" fillId="2" borderId="0" xfId="0" applyFont="1" applyFill="1" applyAlignment="1" applyProtection="1">
      <alignment horizontal="left" vertical="center"/>
      <protection locked="0"/>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7" fillId="0" borderId="1" xfId="0" applyFont="1" applyBorder="1" applyAlignment="1">
      <alignment horizontal="right" vertical="center" wrapText="1"/>
    </xf>
    <xf numFmtId="0" fontId="7" fillId="0" borderId="19" xfId="0" applyFont="1" applyBorder="1" applyAlignment="1">
      <alignment horizontal="right" vertical="center" wrapText="1"/>
    </xf>
    <xf numFmtId="0" fontId="7" fillId="0" borderId="43" xfId="0" applyFont="1" applyBorder="1" applyAlignment="1">
      <alignment horizontal="right" vertical="center" wrapText="1"/>
    </xf>
    <xf numFmtId="0" fontId="2" fillId="5" borderId="0" xfId="4" applyFont="1" applyFill="1" applyAlignment="1">
      <alignment horizontal="left" vertical="center" wrapText="1" indent="1"/>
    </xf>
    <xf numFmtId="0" fontId="2" fillId="2" borderId="1"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5" borderId="0" xfId="0" applyFont="1" applyFill="1" applyAlignment="1">
      <alignment horizontal="left" vertical="center" inden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3" borderId="138" xfId="0" applyFill="1" applyBorder="1" applyAlignment="1" applyProtection="1">
      <alignment horizontal="center"/>
      <protection locked="0"/>
    </xf>
    <xf numFmtId="0" fontId="0" fillId="3" borderId="143"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8" xfId="0" applyFill="1" applyBorder="1" applyAlignment="1" applyProtection="1">
      <alignment horizontal="center"/>
      <protection locked="0"/>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0" fillId="3" borderId="146" xfId="0" applyFill="1" applyBorder="1" applyAlignment="1" applyProtection="1">
      <alignment horizontal="center"/>
      <protection locked="0"/>
    </xf>
    <xf numFmtId="0" fontId="0" fillId="3" borderId="142" xfId="0" applyFill="1" applyBorder="1" applyAlignment="1" applyProtection="1">
      <alignment horizontal="center"/>
      <protection locked="0"/>
    </xf>
    <xf numFmtId="0" fontId="2" fillId="5" borderId="0" xfId="0" quotePrefix="1" applyFont="1" applyFill="1" applyAlignment="1">
      <alignment vertical="center"/>
    </xf>
    <xf numFmtId="0" fontId="2" fillId="2" borderId="4"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164" fontId="0" fillId="0" borderId="19" xfId="0" applyNumberFormat="1" applyBorder="1" applyAlignment="1" applyProtection="1">
      <alignment horizontal="center" vertical="center"/>
      <protection hidden="1"/>
    </xf>
    <xf numFmtId="164"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15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14" borderId="118" xfId="0" applyFont="1" applyFill="1" applyBorder="1" applyAlignment="1" applyProtection="1">
      <alignment horizontal="left" vertical="center" wrapText="1"/>
      <protection hidden="1"/>
    </xf>
    <xf numFmtId="1" fontId="0" fillId="0" borderId="19" xfId="0" applyNumberFormat="1" applyBorder="1" applyAlignment="1" applyProtection="1">
      <alignment horizontal="center" vertical="center"/>
      <protection hidden="1"/>
    </xf>
    <xf numFmtId="1" fontId="0" fillId="0" borderId="2" xfId="0" applyNumberFormat="1" applyBorder="1" applyAlignment="1" applyProtection="1">
      <alignment horizontal="center" vertical="center"/>
      <protection hidden="1"/>
    </xf>
    <xf numFmtId="0" fontId="8" fillId="24" borderId="120" xfId="0" applyFont="1" applyFill="1" applyBorder="1" applyAlignment="1" applyProtection="1">
      <alignment horizontal="center"/>
      <protection locked="0"/>
    </xf>
    <xf numFmtId="0" fontId="8" fillId="24" borderId="53" xfId="0" applyFont="1" applyFill="1" applyBorder="1" applyAlignment="1" applyProtection="1">
      <alignment horizontal="center"/>
      <protection locked="0"/>
    </xf>
    <xf numFmtId="0" fontId="8" fillId="24" borderId="6" xfId="0" applyFont="1" applyFill="1" applyBorder="1" applyAlignment="1" applyProtection="1">
      <alignment horizontal="center"/>
      <protection locked="0"/>
    </xf>
    <xf numFmtId="0" fontId="8" fillId="24" borderId="0" xfId="0" applyFont="1" applyFill="1" applyAlignment="1" applyProtection="1">
      <alignment horizontal="center"/>
      <protection locked="0"/>
    </xf>
    <xf numFmtId="0" fontId="18" fillId="0" borderId="44"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2" fillId="5" borderId="0" xfId="0" quotePrefix="1" applyFont="1" applyFill="1" applyAlignment="1">
      <alignment horizontal="left" vertical="center" wrapText="1"/>
    </xf>
    <xf numFmtId="0" fontId="2" fillId="2" borderId="4"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2" fillId="2" borderId="119" xfId="0" applyFont="1" applyFill="1" applyBorder="1" applyAlignment="1" applyProtection="1">
      <alignment horizontal="center" wrapText="1"/>
      <protection hidden="1"/>
    </xf>
    <xf numFmtId="0" fontId="2" fillId="2" borderId="19" xfId="0" applyFont="1" applyFill="1" applyBorder="1" applyAlignment="1" applyProtection="1">
      <alignment horizontal="center" wrapText="1"/>
      <protection hidden="1"/>
    </xf>
    <xf numFmtId="0" fontId="0" fillId="0" borderId="9" xfId="0" applyBorder="1" applyAlignment="1" applyProtection="1">
      <alignment horizontal="center" vertical="center"/>
      <protection locked="0"/>
    </xf>
    <xf numFmtId="0" fontId="0" fillId="0" borderId="0" xfId="0" applyProtection="1">
      <protection locked="0"/>
    </xf>
    <xf numFmtId="0" fontId="2" fillId="5" borderId="0" xfId="0" quotePrefix="1" applyFont="1" applyFill="1" applyAlignment="1" applyProtection="1">
      <alignment vertical="center"/>
      <protection locked="0"/>
    </xf>
    <xf numFmtId="0" fontId="0" fillId="10" borderId="0" xfId="0" applyFill="1" applyProtection="1">
      <protection locked="0"/>
    </xf>
    <xf numFmtId="0" fontId="0" fillId="0" borderId="0" xfId="0" applyAlignment="1" applyProtection="1">
      <alignment vertical="center"/>
      <protection locked="0"/>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0" fontId="0" fillId="3" borderId="145"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45" xfId="0" applyFill="1" applyBorder="1" applyAlignment="1" applyProtection="1">
      <alignment horizontal="left" vertical="center" indent="1"/>
      <protection locked="0"/>
    </xf>
    <xf numFmtId="0" fontId="0" fillId="3" borderId="147" xfId="0" applyFill="1" applyBorder="1" applyAlignment="1" applyProtection="1">
      <alignment horizontal="left" vertical="center" indent="1"/>
      <protection locked="0"/>
    </xf>
    <xf numFmtId="0" fontId="0" fillId="3" borderId="35" xfId="0" applyFill="1" applyBorder="1" applyAlignment="1" applyProtection="1">
      <alignment horizontal="left" vertical="center" indent="1"/>
      <protection locked="0"/>
    </xf>
    <xf numFmtId="0" fontId="0" fillId="3" borderId="133" xfId="0" applyFill="1" applyBorder="1" applyAlignment="1" applyProtection="1">
      <alignment horizontal="left" vertical="center" indent="1"/>
      <protection locked="0"/>
    </xf>
    <xf numFmtId="0" fontId="0" fillId="3" borderId="38" xfId="0" applyFill="1" applyBorder="1" applyAlignment="1" applyProtection="1">
      <alignment horizontal="left" vertical="center" indent="1"/>
      <protection locked="0"/>
    </xf>
    <xf numFmtId="0" fontId="0" fillId="3" borderId="134" xfId="0"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7"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9" borderId="0" xfId="0" applyFill="1" applyAlignment="1">
      <alignment horizontal="center"/>
    </xf>
    <xf numFmtId="0" fontId="7" fillId="0" borderId="33" xfId="0" applyFont="1" applyFill="1" applyBorder="1" applyAlignment="1" applyProtection="1">
      <alignment horizontal="center"/>
    </xf>
    <xf numFmtId="0" fontId="7" fillId="0" borderId="16" xfId="0" applyFont="1" applyFill="1" applyBorder="1" applyAlignment="1" applyProtection="1">
      <alignment horizontal="center"/>
    </xf>
    <xf numFmtId="0" fontId="7" fillId="0" borderId="18" xfId="0" applyFont="1" applyFill="1" applyBorder="1" applyAlignment="1" applyProtection="1">
      <alignment horizontal="center"/>
    </xf>
    <xf numFmtId="2" fontId="0" fillId="0" borderId="0" xfId="0" applyNumberFormat="1"/>
    <xf numFmtId="169" fontId="0" fillId="0" borderId="0" xfId="0" applyNumberFormat="1"/>
    <xf numFmtId="9" fontId="0" fillId="0" borderId="145" xfId="2" applyFont="1" applyFill="1" applyBorder="1" applyAlignment="1">
      <alignment horizontal="center" vertical="center"/>
    </xf>
    <xf numFmtId="9" fontId="0" fillId="0" borderId="35" xfId="2" applyFont="1" applyFill="1" applyBorder="1" applyAlignment="1">
      <alignment horizontal="center" vertical="center"/>
    </xf>
    <xf numFmtId="0" fontId="52" fillId="0" borderId="0" xfId="0" applyFont="1"/>
  </cellXfs>
  <cellStyles count="6">
    <cellStyle name="Comma [0]" xfId="3" builtinId="6"/>
    <cellStyle name="Hyperlink" xfId="1" builtinId="8"/>
    <cellStyle name="Normal" xfId="0" builtinId="0"/>
    <cellStyle name="Normal 2 2" xfId="4" xr:uid="{605AFF14-18A9-47DC-B3BE-9BDBDB646468}"/>
    <cellStyle name="Normal 6" xfId="5" xr:uid="{690AB870-7609-45C3-9DFC-DB06E404B810}"/>
    <cellStyle name="Percent" xfId="2" builtinId="5"/>
  </cellStyles>
  <dxfs count="323">
    <dxf>
      <font>
        <b/>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border>
      <protection locked="1"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patternFill>
      </fill>
    </dxf>
    <dxf>
      <fill>
        <patternFill>
          <bgColor theme="9" tint="0.79998168889431442"/>
        </patternFill>
      </fill>
    </dxf>
    <dxf>
      <fill>
        <patternFill>
          <bgColor rgb="FFFFCCCC"/>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rgb="FFFFCCCC"/>
        </patternFill>
      </fill>
    </dxf>
    <dxf>
      <fill>
        <patternFill>
          <bgColor rgb="FFFFCCCC"/>
        </patternFill>
      </fill>
    </dxf>
    <dxf>
      <fill>
        <patternFill>
          <bgColor rgb="FFFFD5D5"/>
        </patternFill>
      </fill>
    </dxf>
    <dxf>
      <fill>
        <patternFill>
          <bgColor theme="0" tint="-0.14996795556505021"/>
        </patternFill>
      </fill>
    </dxf>
    <dxf>
      <fill>
        <patternFill>
          <bgColor rgb="FFFFD5D5"/>
        </patternFill>
      </fill>
    </dxf>
    <dxf>
      <fill>
        <patternFill>
          <bgColor rgb="FFFFD5D5"/>
        </patternFill>
      </fill>
    </dxf>
    <dxf>
      <fill>
        <patternFill>
          <bgColor theme="0" tint="-0.14996795556505021"/>
        </patternFill>
      </fill>
    </dxf>
    <dxf>
      <fill>
        <patternFill>
          <bgColor rgb="FFFFD1D1"/>
        </patternFill>
      </fill>
    </dxf>
    <dxf>
      <fill>
        <patternFill>
          <bgColor rgb="FFFFCCCC"/>
        </patternFill>
      </fill>
    </dxf>
    <dxf>
      <fill>
        <patternFill>
          <bgColor rgb="FFFFD1D1"/>
        </patternFill>
      </fill>
    </dxf>
    <dxf>
      <fill>
        <patternFill>
          <bgColor theme="0" tint="-4.9989318521683403E-2"/>
        </patternFill>
      </fill>
    </dxf>
    <dxf>
      <fill>
        <patternFill>
          <bgColor theme="0" tint="-0.14996795556505021"/>
        </patternFill>
      </fill>
    </dxf>
    <dxf>
      <fill>
        <patternFill>
          <bgColor rgb="FFFFD5D5"/>
        </patternFill>
      </fill>
    </dxf>
    <dxf>
      <fill>
        <patternFill>
          <bgColor rgb="FFFFD1D1"/>
        </patternFill>
      </fill>
    </dxf>
    <dxf>
      <fill>
        <patternFill>
          <bgColor rgb="FFFFCCCC"/>
        </patternFill>
      </fill>
    </dxf>
    <dxf>
      <fill>
        <patternFill>
          <bgColor rgb="FFFFD5D5"/>
        </patternFill>
      </fill>
    </dxf>
    <dxf>
      <fill>
        <patternFill>
          <bgColor rgb="FFFFD1D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font>
      <fill>
        <patternFill>
          <fgColor theme="4" tint="0.59996337778862885"/>
          <bgColor theme="4" tint="0.79998168889431442"/>
        </patternFill>
      </fill>
    </dxf>
    <dxf>
      <font>
        <color rgb="FF9C5700"/>
      </font>
      <fill>
        <patternFill>
          <bgColor rgb="FFFFEB9C"/>
        </patternFill>
      </fill>
    </dxf>
    <dxf>
      <font>
        <color theme="4"/>
      </font>
      <fill>
        <patternFill>
          <fgColor theme="3"/>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rgb="FFFFD1D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dxf>
    <dxf>
      <numFmt numFmtId="19" formatCode="dd/mm/yyyy"/>
      <alignment horizontal="center" vertical="center" textRotation="0" wrapText="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bottom style="thin">
          <color rgb="FFFF7C80"/>
        </bottom>
      </border>
    </dxf>
    <dxf>
      <alignment horizont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rgb="FFFF7C80"/>
        </left>
        <right style="medium">
          <color rgb="FFFF7C80"/>
        </right>
        <top/>
        <bottom/>
      </border>
    </dxf>
    <dxf>
      <numFmt numFmtId="0" formatCode="General"/>
      <alignment horizontal="center" textRotation="0" indent="0" justifyLastLine="0" shrinkToFit="0" readingOrder="0"/>
    </dxf>
    <dxf>
      <border outline="0">
        <top style="medium">
          <color rgb="FFFF7C80"/>
        </top>
      </border>
    </dxf>
    <dxf>
      <alignment horizontal="center" textRotation="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top style="medium">
          <color rgb="FFFF7C80"/>
        </top>
        <bottom style="thin">
          <color rgb="FFFF7C80"/>
        </bottom>
      </border>
    </dxf>
    <dxf>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numFmt numFmtId="0" formatCode="General"/>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bottom style="medium">
          <color rgb="FFFF7C80"/>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alignment horizontal="center" vertical="bottom" textRotation="0" wrapText="0" indent="0" justifyLastLine="0" shrinkToFit="0" readingOrder="0"/>
    </dxf>
    <dxf>
      <alignment horizontal="center" textRotation="0" wrapText="0" indent="0" justifyLastLine="0" shrinkToFit="0" readingOrder="0"/>
      <border diagonalUp="0" diagonalDown="0" outline="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top style="thin">
          <color rgb="FFFF7C80"/>
        </top>
        <bottom style="thin">
          <color rgb="FFFF7C80"/>
        </bottom>
      </border>
    </dxf>
    <dxf>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top style="thin">
          <color rgb="FFFF7C80"/>
        </top>
      </border>
    </dxf>
    <dxf>
      <border outline="0">
        <left style="medium">
          <color rgb="FFFF7C80"/>
        </left>
        <right style="medium">
          <color rgb="FFFF7C80"/>
        </right>
        <top style="medium">
          <color rgb="FFFF7C80"/>
        </top>
        <bottom style="medium">
          <color rgb="FFFF7C80"/>
        </bottom>
      </border>
    </dxf>
    <dxf>
      <border outline="0">
        <bottom style="thin">
          <color rgb="FFFF7C80"/>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indent="0" justifyLastLine="0" shrinkToFit="0" readingOrder="0"/>
    </dxf>
    <dxf>
      <alignment horizontal="center"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protection locked="0" hidden="0"/>
    </dxf>
    <dxf>
      <protection locked="0" hidden="0"/>
    </dxf>
    <dxf>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medium">
          <color rgb="FFFF7C8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top style="thin">
          <color indexed="64"/>
        </top>
      </border>
    </dxf>
    <dxf>
      <border outline="0">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rgb="FFFF7C80"/>
        </right>
        <top style="thin">
          <color rgb="FFFF7C80"/>
        </top>
        <bottom style="thin">
          <color rgb="FFFF7C80"/>
        </bottom>
        <vertical/>
        <horizontal/>
      </border>
      <protection locked="0" hidden="0"/>
    </dxf>
    <dxf>
      <border>
        <top style="thin">
          <color rgb="FFFF7C80"/>
        </top>
      </border>
    </dxf>
    <dxf>
      <border outline="0">
        <right style="thin">
          <color rgb="FFFF7C80"/>
        </right>
        <top style="thin">
          <color rgb="FFFF7C80"/>
        </top>
        <bottom style="thin">
          <color rgb="FFFF7C80"/>
        </bottom>
      </border>
    </dxf>
    <dxf>
      <protection locked="0" hidden="0"/>
    </dxf>
    <dxf>
      <border>
        <bottom style="thin">
          <color rgb="FFFF7C80"/>
        </bottom>
      </border>
    </dxf>
    <dxf>
      <font>
        <strike val="0"/>
        <outline val="0"/>
        <shadow val="0"/>
        <u val="none"/>
        <vertAlign val="baseline"/>
        <sz val="10"/>
        <color auto="1"/>
        <name val="Arial"/>
        <family val="2"/>
        <scheme val="none"/>
      </font>
      <protection locked="1" hidden="1"/>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vertical="center" textRotation="0" indent="0" justifyLastLine="0" shrinkToFit="0" readingOrder="0"/>
      <border diagonalUp="0" diagonalDown="0">
        <left/>
        <right style="thin">
          <color rgb="FFFF7C80"/>
        </right>
        <top style="thin">
          <color rgb="FFFF7C80"/>
        </top>
        <bottom style="thin">
          <color rgb="FFFF7C80"/>
        </bottom>
      </border>
      <protection locked="0" hidden="0"/>
    </dxf>
    <dxf>
      <border>
        <top style="thin">
          <color rgb="FFFF7C80"/>
        </top>
      </border>
    </dxf>
    <dxf>
      <border diagonalUp="0" diagonalDown="0">
        <left style="thin">
          <color rgb="FFFF7C80"/>
        </left>
        <right style="thin">
          <color rgb="FFFF7C80"/>
        </right>
        <top style="thin">
          <color rgb="FFFF7C80"/>
        </top>
        <bottom style="thin">
          <color rgb="FFFF7C80"/>
        </bottom>
      </border>
    </dxf>
    <dxf>
      <fill>
        <patternFill patternType="solid">
          <fgColor indexed="64"/>
          <bgColor theme="0" tint="-0.14999847407452621"/>
        </patternFill>
      </fill>
      <protection locked="0" hidden="0"/>
    </dxf>
    <dxf>
      <border>
        <bottom style="thin">
          <color rgb="FFFF7C80"/>
        </bottom>
      </border>
    </dxf>
    <dxf>
      <font>
        <b val="0"/>
      </font>
      <fill>
        <patternFill patternType="solid">
          <fgColor indexed="64"/>
          <bgColor rgb="FFFF7C80"/>
        </patternFill>
      </fill>
      <alignment horizontal="center" vertical="bottom" textRotation="0" wrapText="0" indent="0" justifyLastLine="0" shrinkToFit="0" readingOrder="0"/>
      <protection locked="1" hidden="1"/>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right style="thin">
          <color rgb="FFFF7C80"/>
        </right>
        <top style="thin">
          <color rgb="FFFF7C80"/>
        </top>
        <bottom style="thin">
          <color rgb="FFFF7C80"/>
        </bottom>
      </border>
      <protection locked="0" hidden="0"/>
    </dxf>
    <dxf>
      <border outline="0">
        <top style="thin">
          <color rgb="FF000000"/>
        </top>
      </border>
    </dxf>
    <dxf>
      <font>
        <strike val="0"/>
        <outline val="0"/>
        <shadow val="0"/>
        <u val="none"/>
        <vertAlign val="baseline"/>
        <sz val="10"/>
        <color auto="1"/>
        <name val="Arial"/>
        <family val="2"/>
        <scheme val="none"/>
      </font>
      <alignment horizontal="general" textRotation="0" indent="0" justifyLastLine="0" shrinkToFit="0" readingOrder="0"/>
      <protection locked="0" hidden="0"/>
    </dxf>
    <dxf>
      <border>
        <bottom style="medium">
          <color rgb="FFFF7C80"/>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tint="-9.9978637043366805E-2"/>
        </patternFill>
      </fill>
      <alignment horizontal="center" textRotation="0" indent="0" justifyLastLine="0" shrinkToFit="0" readingOrder="0"/>
      <protection locked="0" hidden="0"/>
    </dxf>
    <dxf>
      <border>
        <left style="thin">
          <color rgb="FFFF7C80"/>
        </left>
        <right style="thin">
          <color rgb="FFFF7C80"/>
        </right>
        <top style="thin">
          <color rgb="FFFF7C80"/>
        </top>
        <bottom style="thin">
          <color rgb="FFFF7C80"/>
        </bottom>
        <vertical style="thin">
          <color rgb="FFFF7C80"/>
        </vertical>
        <horizontal style="thin">
          <color rgb="FFFF7C80"/>
        </horizontal>
      </border>
    </dxf>
  </dxfs>
  <tableStyles count="2" defaultTableStyle="TableStyleMedium2" defaultPivotStyle="PivotStyleLight16">
    <tableStyle name="Estilo de tabla 1" pivot="0" count="0" xr9:uid="{34A2A262-9B36-435B-9068-913C4C6DFE9E}"/>
    <tableStyle name="Estilo de tabla dinámica 1" table="0" count="1" xr9:uid="{2B356E18-836E-4332-86F9-79D67EA08066}">
      <tableStyleElement type="wholeTable" dxfId="322"/>
    </tableStyle>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'Formula limites'!$G$2:$G$55</c:f>
              <c:numCache>
                <c:formatCode>General</c:formatCode>
                <c:ptCount val="54"/>
                <c:pt idx="0">
                  <c:v>0.47499999999999998</c:v>
                </c:pt>
                <c:pt idx="1">
                  <c:v>0.48</c:v>
                </c:pt>
                <c:pt idx="2">
                  <c:v>0.49</c:v>
                </c:pt>
                <c:pt idx="3">
                  <c:v>0.5</c:v>
                </c:pt>
                <c:pt idx="4">
                  <c:v>0.51</c:v>
                </c:pt>
                <c:pt idx="5">
                  <c:v>0.52</c:v>
                </c:pt>
                <c:pt idx="6">
                  <c:v>0.53</c:v>
                </c:pt>
                <c:pt idx="7">
                  <c:v>0.54</c:v>
                </c:pt>
                <c:pt idx="8">
                  <c:v>0.55000000000000004</c:v>
                </c:pt>
                <c:pt idx="9">
                  <c:v>0.56000000000000005</c:v>
                </c:pt>
                <c:pt idx="10">
                  <c:v>0.56999999999999995</c:v>
                </c:pt>
                <c:pt idx="11">
                  <c:v>0.57999999999999996</c:v>
                </c:pt>
                <c:pt idx="12">
                  <c:v>0.59</c:v>
                </c:pt>
                <c:pt idx="13">
                  <c:v>0.6</c:v>
                </c:pt>
                <c:pt idx="14">
                  <c:v>0.61</c:v>
                </c:pt>
                <c:pt idx="15">
                  <c:v>0.62</c:v>
                </c:pt>
                <c:pt idx="16">
                  <c:v>0.63</c:v>
                </c:pt>
                <c:pt idx="17">
                  <c:v>0.64</c:v>
                </c:pt>
                <c:pt idx="18">
                  <c:v>0.65</c:v>
                </c:pt>
                <c:pt idx="19">
                  <c:v>0.66</c:v>
                </c:pt>
                <c:pt idx="20">
                  <c:v>0.67</c:v>
                </c:pt>
                <c:pt idx="21">
                  <c:v>0.68</c:v>
                </c:pt>
                <c:pt idx="22">
                  <c:v>0.69</c:v>
                </c:pt>
                <c:pt idx="23">
                  <c:v>0.7</c:v>
                </c:pt>
                <c:pt idx="24">
                  <c:v>0.71</c:v>
                </c:pt>
                <c:pt idx="25">
                  <c:v>0.72</c:v>
                </c:pt>
                <c:pt idx="26">
                  <c:v>0.73</c:v>
                </c:pt>
                <c:pt idx="27">
                  <c:v>0.74</c:v>
                </c:pt>
                <c:pt idx="28">
                  <c:v>0.75</c:v>
                </c:pt>
                <c:pt idx="29">
                  <c:v>0.76</c:v>
                </c:pt>
                <c:pt idx="30">
                  <c:v>0.77</c:v>
                </c:pt>
                <c:pt idx="31">
                  <c:v>0.78</c:v>
                </c:pt>
                <c:pt idx="32">
                  <c:v>0.79</c:v>
                </c:pt>
                <c:pt idx="33">
                  <c:v>0.8</c:v>
                </c:pt>
                <c:pt idx="34">
                  <c:v>0.81</c:v>
                </c:pt>
                <c:pt idx="35">
                  <c:v>0.82</c:v>
                </c:pt>
                <c:pt idx="36">
                  <c:v>0.83</c:v>
                </c:pt>
                <c:pt idx="37">
                  <c:v>0.84</c:v>
                </c:pt>
                <c:pt idx="38">
                  <c:v>0.85</c:v>
                </c:pt>
                <c:pt idx="39">
                  <c:v>0.86</c:v>
                </c:pt>
                <c:pt idx="40">
                  <c:v>0.87</c:v>
                </c:pt>
                <c:pt idx="41">
                  <c:v>0.88</c:v>
                </c:pt>
                <c:pt idx="42">
                  <c:v>0.89</c:v>
                </c:pt>
                <c:pt idx="43">
                  <c:v>0.9</c:v>
                </c:pt>
                <c:pt idx="44">
                  <c:v>0.91</c:v>
                </c:pt>
                <c:pt idx="45">
                  <c:v>0.92</c:v>
                </c:pt>
                <c:pt idx="46">
                  <c:v>0.93</c:v>
                </c:pt>
                <c:pt idx="47">
                  <c:v>0.94</c:v>
                </c:pt>
                <c:pt idx="48">
                  <c:v>0.95</c:v>
                </c:pt>
                <c:pt idx="49">
                  <c:v>0.96</c:v>
                </c:pt>
                <c:pt idx="50">
                  <c:v>0.97</c:v>
                </c:pt>
                <c:pt idx="51">
                  <c:v>0.98</c:v>
                </c:pt>
                <c:pt idx="52">
                  <c:v>0.99</c:v>
                </c:pt>
                <c:pt idx="53">
                  <c:v>1</c:v>
                </c:pt>
              </c:numCache>
            </c:numRef>
          </c:xVal>
          <c:yVal>
            <c:numRef>
              <c:f>'Formula limites'!$H$2:$H$55</c:f>
              <c:numCache>
                <c:formatCode>General</c:formatCode>
                <c:ptCount val="54"/>
                <c:pt idx="0">
                  <c:v>0.37149568749999995</c:v>
                </c:pt>
                <c:pt idx="1">
                  <c:v>0.36940543999999997</c:v>
                </c:pt>
                <c:pt idx="2">
                  <c:v>0.36527910999999996</c:v>
                </c:pt>
                <c:pt idx="3">
                  <c:v>0.36122499999999996</c:v>
                </c:pt>
                <c:pt idx="4">
                  <c:v>0.35724310999999997</c:v>
                </c:pt>
                <c:pt idx="5">
                  <c:v>0.35333344</c:v>
                </c:pt>
                <c:pt idx="6">
                  <c:v>0.34949598999999992</c:v>
                </c:pt>
                <c:pt idx="7">
                  <c:v>0.34573075999999991</c:v>
                </c:pt>
                <c:pt idx="8">
                  <c:v>0.34203774999999992</c:v>
                </c:pt>
                <c:pt idx="9">
                  <c:v>0.33841695999999993</c:v>
                </c:pt>
                <c:pt idx="10">
                  <c:v>0.33486838999999996</c:v>
                </c:pt>
                <c:pt idx="11">
                  <c:v>0.33139204</c:v>
                </c:pt>
                <c:pt idx="12">
                  <c:v>0.32798790999999994</c:v>
                </c:pt>
                <c:pt idx="13">
                  <c:v>0.324656</c:v>
                </c:pt>
                <c:pt idx="14">
                  <c:v>0.32139631000000002</c:v>
                </c:pt>
                <c:pt idx="15">
                  <c:v>0.31820883999999994</c:v>
                </c:pt>
                <c:pt idx="16">
                  <c:v>0.31509358999999992</c:v>
                </c:pt>
                <c:pt idx="17">
                  <c:v>0.31205055999999998</c:v>
                </c:pt>
                <c:pt idx="18">
                  <c:v>0.30907974999999999</c:v>
                </c:pt>
                <c:pt idx="19">
                  <c:v>0.30618115999999995</c:v>
                </c:pt>
                <c:pt idx="20">
                  <c:v>0.30335478999999999</c:v>
                </c:pt>
                <c:pt idx="21">
                  <c:v>0.30060063999999997</c:v>
                </c:pt>
                <c:pt idx="22">
                  <c:v>0.29791870999999992</c:v>
                </c:pt>
                <c:pt idx="23">
                  <c:v>0.29530899999999993</c:v>
                </c:pt>
                <c:pt idx="24">
                  <c:v>0.29277150999999996</c:v>
                </c:pt>
                <c:pt idx="25">
                  <c:v>0.29030623999999994</c:v>
                </c:pt>
                <c:pt idx="26">
                  <c:v>0.28791318999999993</c:v>
                </c:pt>
                <c:pt idx="27">
                  <c:v>0.28559235999999999</c:v>
                </c:pt>
                <c:pt idx="28">
                  <c:v>0.28334375000000001</c:v>
                </c:pt>
                <c:pt idx="29">
                  <c:v>0.28116735999999998</c:v>
                </c:pt>
                <c:pt idx="30">
                  <c:v>0.27906319000000002</c:v>
                </c:pt>
                <c:pt idx="31">
                  <c:v>0.2770312399999999</c:v>
                </c:pt>
                <c:pt idx="32">
                  <c:v>0.27507150999999991</c:v>
                </c:pt>
                <c:pt idx="33">
                  <c:v>0.27318399999999993</c:v>
                </c:pt>
                <c:pt idx="34">
                  <c:v>0.27136870999999996</c:v>
                </c:pt>
                <c:pt idx="35">
                  <c:v>0.26962563999999994</c:v>
                </c:pt>
                <c:pt idx="36">
                  <c:v>0.26795479</c:v>
                </c:pt>
                <c:pt idx="37">
                  <c:v>0.26635615999999995</c:v>
                </c:pt>
                <c:pt idx="38">
                  <c:v>0.26482974999999997</c:v>
                </c:pt>
                <c:pt idx="39">
                  <c:v>0.26337555999999995</c:v>
                </c:pt>
                <c:pt idx="40">
                  <c:v>0.26199358999999989</c:v>
                </c:pt>
                <c:pt idx="41">
                  <c:v>0.26068383999999989</c:v>
                </c:pt>
                <c:pt idx="42">
                  <c:v>0.2594463099999999</c:v>
                </c:pt>
                <c:pt idx="43">
                  <c:v>0.25828099999999993</c:v>
                </c:pt>
                <c:pt idx="44">
                  <c:v>0.25718790999999991</c:v>
                </c:pt>
                <c:pt idx="45">
                  <c:v>0.2561670399999999</c:v>
                </c:pt>
                <c:pt idx="46">
                  <c:v>0.25521838999999996</c:v>
                </c:pt>
                <c:pt idx="47">
                  <c:v>0.25434196000000003</c:v>
                </c:pt>
                <c:pt idx="48">
                  <c:v>0.2535377499999999</c:v>
                </c:pt>
                <c:pt idx="49">
                  <c:v>0.25280575999999993</c:v>
                </c:pt>
                <c:pt idx="50">
                  <c:v>0.25214598999999993</c:v>
                </c:pt>
                <c:pt idx="51">
                  <c:v>0.25155843999999988</c:v>
                </c:pt>
                <c:pt idx="52">
                  <c:v>0.2510431099999999</c:v>
                </c:pt>
                <c:pt idx="53">
                  <c:v>0.25059999999999993</c:v>
                </c:pt>
              </c:numCache>
            </c:numRef>
          </c:yVal>
          <c:smooth val="0"/>
          <c:extLst>
            <c:ext xmlns:c16="http://schemas.microsoft.com/office/drawing/2014/chart" uri="{C3380CC4-5D6E-409C-BE32-E72D297353CC}">
              <c16:uniqueId val="{00000000-ADAE-4F53-BF30-C0E143EC1A7F}"/>
            </c:ext>
          </c:extLst>
        </c:ser>
        <c:dLbls>
          <c:showLegendKey val="0"/>
          <c:showVal val="0"/>
          <c:showCatName val="0"/>
          <c:showSerName val="0"/>
          <c:showPercent val="0"/>
          <c:showBubbleSize val="0"/>
        </c:dLbls>
        <c:axId val="1754266719"/>
        <c:axId val="1754267679"/>
      </c:scatterChart>
      <c:valAx>
        <c:axId val="1754266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4267679"/>
        <c:crosses val="autoZero"/>
        <c:crossBetween val="midCat"/>
      </c:valAx>
      <c:valAx>
        <c:axId val="1754267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426671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r>
              <a:rPr lang="en-US">
                <a:latin typeface="Arial Nova Light" panose="020B0304020202020204" pitchFamily="34" charset="0"/>
              </a:rPr>
              <a:t>% incidencia carbono Minergie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endParaRPr lang="es-CL"/>
        </a:p>
      </c:txPr>
    </c:title>
    <c:autoTitleDeleted val="0"/>
    <c:plotArea>
      <c:layout/>
      <c:pieChart>
        <c:varyColors val="1"/>
        <c:ser>
          <c:idx val="0"/>
          <c:order val="0"/>
          <c:tx>
            <c:strRef>
              <c:f>'A7'!$D$66</c:f>
              <c:strCache>
                <c:ptCount val="1"/>
                <c:pt idx="0">
                  <c:v>% incidencia carbono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AFF-48FA-954B-20B5F6ADEE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FF-48FA-954B-20B5F6ADEE4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Nova Light" panose="020B0304020202020204" pitchFamily="34" charset="0"/>
                    <a:ea typeface="+mn-ea"/>
                    <a:cs typeface="+mn-cs"/>
                  </a:defRPr>
                </a:pPr>
                <a:endParaRPr lang="es-C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'A7'!$C$67:$C$68</c:f>
              <c:strCache>
                <c:ptCount val="2"/>
                <c:pt idx="0">
                  <c:v>Carbono Operacional</c:v>
                </c:pt>
                <c:pt idx="1">
                  <c:v>Carbono Incorporado</c:v>
                </c:pt>
              </c:strCache>
            </c:strRef>
          </c:cat>
          <c:val>
            <c:numRef>
              <c:f>'A7'!$D$67:$D$68</c:f>
              <c:numCache>
                <c:formatCode>0%</c:formatCode>
                <c:ptCount val="2"/>
                <c:pt idx="0">
                  <c:v>0</c:v>
                </c:pt>
                <c:pt idx="1">
                  <c:v>0</c:v>
                </c:pt>
              </c:numCache>
            </c:numRef>
          </c:val>
          <c:extLst>
            <c:ext xmlns:c16="http://schemas.microsoft.com/office/drawing/2014/chart" uri="{C3380CC4-5D6E-409C-BE32-E72D297353CC}">
              <c16:uniqueId val="{00000000-7AFF-48FA-954B-20B5F6ADEE4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ova Light" panose="020B0304020202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 Id="rId6" Type="http://schemas.openxmlformats.org/officeDocument/2006/relationships/image" Target="../media/image27.png"/><Relationship Id="rId5" Type="http://schemas.openxmlformats.org/officeDocument/2006/relationships/image" Target="../media/image26.emf"/><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g"/><Relationship Id="rId1" Type="http://schemas.openxmlformats.org/officeDocument/2006/relationships/image" Target="../media/image32.png"/><Relationship Id="rId4"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e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5.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449580</xdr:colOff>
      <xdr:row>0</xdr:row>
      <xdr:rowOff>161925</xdr:rowOff>
    </xdr:from>
    <xdr:to>
      <xdr:col>19</xdr:col>
      <xdr:colOff>459165</xdr:colOff>
      <xdr:row>18</xdr:row>
      <xdr:rowOff>9954</xdr:rowOff>
    </xdr:to>
    <xdr:pic>
      <xdr:nvPicPr>
        <xdr:cNvPr id="2" name="Imagen 1">
          <a:extLst>
            <a:ext uri="{FF2B5EF4-FFF2-40B4-BE49-F238E27FC236}">
              <a16:creationId xmlns:a16="http://schemas.microsoft.com/office/drawing/2014/main" id="{82DA57DC-A129-47A6-9DBB-405CDEA3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69230" y="158750"/>
          <a:ext cx="3822760" cy="276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472440</xdr:colOff>
      <xdr:row>0</xdr:row>
      <xdr:rowOff>177165</xdr:rowOff>
    </xdr:from>
    <xdr:to>
      <xdr:col>26</xdr:col>
      <xdr:colOff>94820</xdr:colOff>
      <xdr:row>17</xdr:row>
      <xdr:rowOff>20097</xdr:rowOff>
    </xdr:to>
    <xdr:pic>
      <xdr:nvPicPr>
        <xdr:cNvPr id="3" name="Imagen 4">
          <a:extLst>
            <a:ext uri="{FF2B5EF4-FFF2-40B4-BE49-F238E27FC236}">
              <a16:creationId xmlns:a16="http://schemas.microsoft.com/office/drawing/2014/main" id="{0B305D84-C0E9-4153-8B0A-554F0473509C}"/>
            </a:ext>
          </a:extLst>
        </xdr:cNvPr>
        <xdr:cNvPicPr>
          <a:picLocks noChangeAspect="1"/>
        </xdr:cNvPicPr>
      </xdr:nvPicPr>
      <xdr:blipFill rotWithShape="1">
        <a:blip xmlns:r="http://schemas.openxmlformats.org/officeDocument/2006/relationships" r:embed="rId2"/>
        <a:srcRect l="27425" t="39804" r="29677" b="39280"/>
        <a:stretch/>
      </xdr:blipFill>
      <xdr:spPr>
        <a:xfrm>
          <a:off x="35568890" y="180340"/>
          <a:ext cx="2673555" cy="2608357"/>
        </a:xfrm>
        <a:prstGeom prst="rect">
          <a:avLst/>
        </a:prstGeom>
      </xdr:spPr>
    </xdr:pic>
    <xdr:clientData/>
  </xdr:twoCellAnchor>
  <xdr:twoCellAnchor editAs="oneCell">
    <xdr:from>
      <xdr:col>14</xdr:col>
      <xdr:colOff>459105</xdr:colOff>
      <xdr:row>10</xdr:row>
      <xdr:rowOff>106680</xdr:rowOff>
    </xdr:from>
    <xdr:to>
      <xdr:col>19</xdr:col>
      <xdr:colOff>474711</xdr:colOff>
      <xdr:row>37</xdr:row>
      <xdr:rowOff>18855</xdr:rowOff>
    </xdr:to>
    <xdr:pic>
      <xdr:nvPicPr>
        <xdr:cNvPr id="4" name="Imagen 11">
          <a:extLst>
            <a:ext uri="{FF2B5EF4-FFF2-40B4-BE49-F238E27FC236}">
              <a16:creationId xmlns:a16="http://schemas.microsoft.com/office/drawing/2014/main" id="{99786F6C-751B-4840-AD6D-A67FE40C77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81930" y="2903855"/>
          <a:ext cx="3825606" cy="42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564355</xdr:colOff>
      <xdr:row>10</xdr:row>
      <xdr:rowOff>123979</xdr:rowOff>
    </xdr:from>
    <xdr:to>
      <xdr:col>27</xdr:col>
      <xdr:colOff>211501</xdr:colOff>
      <xdr:row>60</xdr:row>
      <xdr:rowOff>12472</xdr:rowOff>
    </xdr:to>
    <xdr:pic>
      <xdr:nvPicPr>
        <xdr:cNvPr id="5" name="Imagen 12">
          <a:extLst>
            <a:ext uri="{FF2B5EF4-FFF2-40B4-BE49-F238E27FC236}">
              <a16:creationId xmlns:a16="http://schemas.microsoft.com/office/drawing/2014/main" id="{6A5F8622-49D9-4316-A5F1-0B041D56A039}"/>
            </a:ext>
          </a:extLst>
        </xdr:cNvPr>
        <xdr:cNvPicPr>
          <a:picLocks noChangeAspect="1"/>
        </xdr:cNvPicPr>
      </xdr:nvPicPr>
      <xdr:blipFill rotWithShape="1">
        <a:blip xmlns:r="http://schemas.openxmlformats.org/officeDocument/2006/relationships" r:embed="rId4"/>
        <a:srcRect l="26395" t="34526" r="27988" b="25926"/>
        <a:stretch/>
      </xdr:blipFill>
      <xdr:spPr>
        <a:xfrm>
          <a:off x="35660805" y="2921154"/>
          <a:ext cx="3460321" cy="7984743"/>
        </a:xfrm>
        <a:prstGeom prst="rect">
          <a:avLst/>
        </a:prstGeom>
      </xdr:spPr>
    </xdr:pic>
    <xdr:clientData/>
  </xdr:twoCellAnchor>
  <xdr:twoCellAnchor editAs="oneCell">
    <xdr:from>
      <xdr:col>14</xdr:col>
      <xdr:colOff>495300</xdr:colOff>
      <xdr:row>25</xdr:row>
      <xdr:rowOff>26092</xdr:rowOff>
    </xdr:from>
    <xdr:to>
      <xdr:col>19</xdr:col>
      <xdr:colOff>0</xdr:colOff>
      <xdr:row>50</xdr:row>
      <xdr:rowOff>16793</xdr:rowOff>
    </xdr:to>
    <xdr:pic>
      <xdr:nvPicPr>
        <xdr:cNvPr id="6" name="Picture 6">
          <a:extLst>
            <a:ext uri="{FF2B5EF4-FFF2-40B4-BE49-F238E27FC236}">
              <a16:creationId xmlns:a16="http://schemas.microsoft.com/office/drawing/2014/main" id="{F76CB668-CA69-4F6F-9917-2C73AC1FEC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718125" y="9782867"/>
          <a:ext cx="3295650" cy="403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344804</xdr:colOff>
      <xdr:row>24</xdr:row>
      <xdr:rowOff>324027</xdr:rowOff>
    </xdr:from>
    <xdr:to>
      <xdr:col>27</xdr:col>
      <xdr:colOff>552999</xdr:colOff>
      <xdr:row>71</xdr:row>
      <xdr:rowOff>35424</xdr:rowOff>
    </xdr:to>
    <xdr:pic>
      <xdr:nvPicPr>
        <xdr:cNvPr id="7" name="Picture 5">
          <a:extLst>
            <a:ext uri="{FF2B5EF4-FFF2-40B4-BE49-F238E27FC236}">
              <a16:creationId xmlns:a16="http://schemas.microsoft.com/office/drawing/2014/main" id="{F97E297E-9183-4307-B33D-2EB06962AB00}"/>
            </a:ext>
          </a:extLst>
        </xdr:cNvPr>
        <xdr:cNvPicPr>
          <a:picLocks noChangeAspect="1"/>
        </xdr:cNvPicPr>
      </xdr:nvPicPr>
      <xdr:blipFill>
        <a:blip xmlns:r="http://schemas.openxmlformats.org/officeDocument/2006/relationships" r:embed="rId6"/>
        <a:stretch>
          <a:fillRect/>
        </a:stretch>
      </xdr:blipFill>
      <xdr:spPr>
        <a:xfrm>
          <a:off x="35444429" y="9753777"/>
          <a:ext cx="4018195" cy="74869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402293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25</xdr:row>
      <xdr:rowOff>20897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844</xdr:colOff>
      <xdr:row>55</xdr:row>
      <xdr:rowOff>105057</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114</xdr:row>
      <xdr:rowOff>0</xdr:rowOff>
    </xdr:from>
    <xdr:to>
      <xdr:col>6</xdr:col>
      <xdr:colOff>743977</xdr:colOff>
      <xdr:row>161</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181429</xdr:colOff>
      <xdr:row>3</xdr:row>
      <xdr:rowOff>15083</xdr:rowOff>
    </xdr:from>
    <xdr:to>
      <xdr:col>19</xdr:col>
      <xdr:colOff>786546</xdr:colOff>
      <xdr:row>21</xdr:row>
      <xdr:rowOff>33153</xdr:rowOff>
    </xdr:to>
    <xdr:grpSp>
      <xdr:nvGrpSpPr>
        <xdr:cNvPr id="7" name="Grupo 6">
          <a:extLst>
            <a:ext uri="{FF2B5EF4-FFF2-40B4-BE49-F238E27FC236}">
              <a16:creationId xmlns:a16="http://schemas.microsoft.com/office/drawing/2014/main" id="{4C3A2EEE-90B6-8798-F446-4AB3911B290C}"/>
            </a:ext>
          </a:extLst>
        </xdr:cNvPr>
        <xdr:cNvGrpSpPr>
          <a:grpSpLocks noChangeAspect="1"/>
        </xdr:cNvGrpSpPr>
      </xdr:nvGrpSpPr>
      <xdr:grpSpPr>
        <a:xfrm>
          <a:off x="4309910" y="702961"/>
          <a:ext cx="11262553" cy="3129628"/>
          <a:chOff x="4608286" y="523083"/>
          <a:chExt cx="11572475" cy="2966284"/>
        </a:xfrm>
      </xdr:grpSpPr>
      <xdr:pic>
        <xdr:nvPicPr>
          <xdr:cNvPr id="3" name="Imagen 2">
            <a:extLst>
              <a:ext uri="{FF2B5EF4-FFF2-40B4-BE49-F238E27FC236}">
                <a16:creationId xmlns:a16="http://schemas.microsoft.com/office/drawing/2014/main" id="{9C10EFD3-0A23-B62A-E634-ECB622AFB5AD}"/>
              </a:ext>
            </a:extLst>
          </xdr:cNvPr>
          <xdr:cNvPicPr>
            <a:picLocks noChangeAspect="1"/>
          </xdr:cNvPicPr>
        </xdr:nvPicPr>
        <xdr:blipFill>
          <a:blip xmlns:r="http://schemas.openxmlformats.org/officeDocument/2006/relationships" r:embed="rId1"/>
          <a:stretch>
            <a:fillRect/>
          </a:stretch>
        </xdr:blipFill>
        <xdr:spPr>
          <a:xfrm>
            <a:off x="10452422" y="523083"/>
            <a:ext cx="5728339" cy="2205706"/>
          </a:xfrm>
          <a:prstGeom prst="rect">
            <a:avLst/>
          </a:prstGeom>
          <a:ln>
            <a:solidFill>
              <a:srgbClr val="FF7C80"/>
            </a:solidFill>
          </a:ln>
        </xdr:spPr>
      </xdr:pic>
      <xdr:pic>
        <xdr:nvPicPr>
          <xdr:cNvPr id="6" name="Imagen 5">
            <a:extLst>
              <a:ext uri="{FF2B5EF4-FFF2-40B4-BE49-F238E27FC236}">
                <a16:creationId xmlns:a16="http://schemas.microsoft.com/office/drawing/2014/main" id="{60A62109-AA97-0AFF-EB5F-8ACF0CE1C6E1}"/>
              </a:ext>
            </a:extLst>
          </xdr:cNvPr>
          <xdr:cNvPicPr>
            <a:picLocks noChangeAspect="1"/>
          </xdr:cNvPicPr>
        </xdr:nvPicPr>
        <xdr:blipFill>
          <a:blip xmlns:r="http://schemas.openxmlformats.org/officeDocument/2006/relationships" r:embed="rId2"/>
          <a:stretch>
            <a:fillRect/>
          </a:stretch>
        </xdr:blipFill>
        <xdr:spPr>
          <a:xfrm>
            <a:off x="4608286" y="524836"/>
            <a:ext cx="5673499" cy="2964531"/>
          </a:xfrm>
          <a:prstGeom prst="rect">
            <a:avLst/>
          </a:prstGeom>
          <a:ln>
            <a:solidFill>
              <a:srgbClr val="FF7C80"/>
            </a:solidFill>
          </a:ln>
        </xdr:spPr>
      </xdr:pic>
    </xdr:grpSp>
    <xdr:clientData/>
  </xdr:twoCellAnchor>
  <xdr:twoCellAnchor>
    <xdr:from>
      <xdr:col>7</xdr:col>
      <xdr:colOff>18141</xdr:colOff>
      <xdr:row>60</xdr:row>
      <xdr:rowOff>152689</xdr:rowOff>
    </xdr:from>
    <xdr:to>
      <xdr:col>12</xdr:col>
      <xdr:colOff>18142</xdr:colOff>
      <xdr:row>87</xdr:row>
      <xdr:rowOff>155609</xdr:rowOff>
    </xdr:to>
    <xdr:grpSp>
      <xdr:nvGrpSpPr>
        <xdr:cNvPr id="14" name="Grupo 13">
          <a:extLst>
            <a:ext uri="{FF2B5EF4-FFF2-40B4-BE49-F238E27FC236}">
              <a16:creationId xmlns:a16="http://schemas.microsoft.com/office/drawing/2014/main" id="{D093688C-3A5A-23D4-E685-8FD72F76B2E9}"/>
            </a:ext>
          </a:extLst>
        </xdr:cNvPr>
        <xdr:cNvGrpSpPr/>
      </xdr:nvGrpSpPr>
      <xdr:grpSpPr>
        <a:xfrm>
          <a:off x="6464315" y="10959234"/>
          <a:ext cx="3333751" cy="5016534"/>
          <a:chOff x="6511554" y="6901090"/>
          <a:chExt cx="3234271" cy="4449740"/>
        </a:xfrm>
      </xdr:grpSpPr>
      <xdr:pic>
        <xdr:nvPicPr>
          <xdr:cNvPr id="8" name="Picture 36" descr="Ein Bild, das Baumaterial, Gebäude, Ziegelstein, aus Holz enthält.&#10;&#10;Automatisch generierte Beschreibung">
            <a:extLst>
              <a:ext uri="{FF2B5EF4-FFF2-40B4-BE49-F238E27FC236}">
                <a16:creationId xmlns:a16="http://schemas.microsoft.com/office/drawing/2014/main" id="{84F4EADF-D982-43B8-D4AD-FF0B47C8ED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10" name="Forma libre: forma 9">
            <a:extLst>
              <a:ext uri="{FF2B5EF4-FFF2-40B4-BE49-F238E27FC236}">
                <a16:creationId xmlns:a16="http://schemas.microsoft.com/office/drawing/2014/main" id="{B51EAF8E-BC51-CCE3-B3FD-6C7215EF1024}"/>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1" name="Forma libre: forma 10">
            <a:extLst>
              <a:ext uri="{FF2B5EF4-FFF2-40B4-BE49-F238E27FC236}">
                <a16:creationId xmlns:a16="http://schemas.microsoft.com/office/drawing/2014/main" id="{8D9804EB-71F6-F19B-5987-D52644321B64}"/>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2" name="CuadroTexto 11">
            <a:extLst>
              <a:ext uri="{FF2B5EF4-FFF2-40B4-BE49-F238E27FC236}">
                <a16:creationId xmlns:a16="http://schemas.microsoft.com/office/drawing/2014/main" id="{805E729C-BC38-2E3D-E0A1-CF5FB50AAF5C}"/>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13" name="CuadroTexto 12">
            <a:extLst>
              <a:ext uri="{FF2B5EF4-FFF2-40B4-BE49-F238E27FC236}">
                <a16:creationId xmlns:a16="http://schemas.microsoft.com/office/drawing/2014/main" id="{BCC11B07-F282-B2C7-FF3D-61E60A50FD0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12</xdr:col>
      <xdr:colOff>208642</xdr:colOff>
      <xdr:row>26</xdr:row>
      <xdr:rowOff>48030</xdr:rowOff>
    </xdr:from>
    <xdr:to>
      <xdr:col>21</xdr:col>
      <xdr:colOff>312553</xdr:colOff>
      <xdr:row>68</xdr:row>
      <xdr:rowOff>55176</xdr:rowOff>
    </xdr:to>
    <xdr:grpSp>
      <xdr:nvGrpSpPr>
        <xdr:cNvPr id="19" name="Grupo 18">
          <a:extLst>
            <a:ext uri="{FF2B5EF4-FFF2-40B4-BE49-F238E27FC236}">
              <a16:creationId xmlns:a16="http://schemas.microsoft.com/office/drawing/2014/main" id="{A01A7E62-BB8A-6827-D795-F0C9CF440F00}"/>
            </a:ext>
          </a:extLst>
        </xdr:cNvPr>
        <xdr:cNvGrpSpPr>
          <a:grpSpLocks noChangeAspect="1"/>
        </xdr:cNvGrpSpPr>
      </xdr:nvGrpSpPr>
      <xdr:grpSpPr>
        <a:xfrm>
          <a:off x="9988566" y="4717185"/>
          <a:ext cx="6691574" cy="7533801"/>
          <a:chOff x="6580083" y="4163786"/>
          <a:chExt cx="6438989" cy="6741721"/>
        </a:xfrm>
      </xdr:grpSpPr>
      <xdr:sp macro="" textlink="">
        <xdr:nvSpPr>
          <xdr:cNvPr id="18" name="Rectángulo 17">
            <a:extLst>
              <a:ext uri="{FF2B5EF4-FFF2-40B4-BE49-F238E27FC236}">
                <a16:creationId xmlns:a16="http://schemas.microsoft.com/office/drawing/2014/main" id="{55D3EB45-C958-F12B-F910-DA2A40D2D78D}"/>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7" name="Grupo 16">
            <a:extLst>
              <a:ext uri="{FF2B5EF4-FFF2-40B4-BE49-F238E27FC236}">
                <a16:creationId xmlns:a16="http://schemas.microsoft.com/office/drawing/2014/main" id="{152F981D-941B-80D9-85F8-57AB67FC7043}"/>
              </a:ext>
            </a:extLst>
          </xdr:cNvPr>
          <xdr:cNvGrpSpPr/>
        </xdr:nvGrpSpPr>
        <xdr:grpSpPr>
          <a:xfrm>
            <a:off x="6599413" y="4192993"/>
            <a:ext cx="6397945" cy="6694371"/>
            <a:chOff x="6568900" y="4229279"/>
            <a:chExt cx="5242100" cy="5499862"/>
          </a:xfrm>
        </xdr:grpSpPr>
        <xdr:pic>
          <xdr:nvPicPr>
            <xdr:cNvPr id="15" name="Imagen 14">
              <a:extLst>
                <a:ext uri="{FF2B5EF4-FFF2-40B4-BE49-F238E27FC236}">
                  <a16:creationId xmlns:a16="http://schemas.microsoft.com/office/drawing/2014/main" id="{F5B20138-1976-680D-BC6C-EDB1AF9A71AD}"/>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CuadroTexto 15">
              <a:extLst>
                <a:ext uri="{FF2B5EF4-FFF2-40B4-BE49-F238E27FC236}">
                  <a16:creationId xmlns:a16="http://schemas.microsoft.com/office/drawing/2014/main" id="{4B0B2BE7-62CA-D63C-7417-5FD8DA68D63F}"/>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7940</xdr:colOff>
      <xdr:row>3</xdr:row>
      <xdr:rowOff>106383</xdr:rowOff>
    </xdr:from>
    <xdr:to>
      <xdr:col>29</xdr:col>
      <xdr:colOff>309173</xdr:colOff>
      <xdr:row>21</xdr:row>
      <xdr:rowOff>0</xdr:rowOff>
    </xdr:to>
    <xdr:grpSp>
      <xdr:nvGrpSpPr>
        <xdr:cNvPr id="3" name="Grupo 2">
          <a:extLst>
            <a:ext uri="{FF2B5EF4-FFF2-40B4-BE49-F238E27FC236}">
              <a16:creationId xmlns:a16="http://schemas.microsoft.com/office/drawing/2014/main" id="{4814957C-F1C8-42D0-A978-24615EFACC0D}"/>
            </a:ext>
          </a:extLst>
        </xdr:cNvPr>
        <xdr:cNvGrpSpPr/>
      </xdr:nvGrpSpPr>
      <xdr:grpSpPr>
        <a:xfrm>
          <a:off x="8201345" y="771228"/>
          <a:ext cx="11612171" cy="3157835"/>
          <a:chOff x="4608286" y="523083"/>
          <a:chExt cx="11572475" cy="2966284"/>
        </a:xfrm>
      </xdr:grpSpPr>
      <xdr:pic>
        <xdr:nvPicPr>
          <xdr:cNvPr id="4" name="Imagen 3">
            <a:extLst>
              <a:ext uri="{FF2B5EF4-FFF2-40B4-BE49-F238E27FC236}">
                <a16:creationId xmlns:a16="http://schemas.microsoft.com/office/drawing/2014/main" id="{9B216B97-24C1-61DE-CE63-F00F288F434A}"/>
              </a:ext>
            </a:extLst>
          </xdr:cNvPr>
          <xdr:cNvPicPr>
            <a:picLocks noChangeAspect="1"/>
          </xdr:cNvPicPr>
        </xdr:nvPicPr>
        <xdr:blipFill>
          <a:blip xmlns:r="http://schemas.openxmlformats.org/officeDocument/2006/relationships" r:embed="rId1"/>
          <a:stretch>
            <a:fillRect/>
          </a:stretch>
        </xdr:blipFill>
        <xdr:spPr>
          <a:xfrm>
            <a:off x="10452422" y="523083"/>
            <a:ext cx="5728339" cy="2205706"/>
          </a:xfrm>
          <a:prstGeom prst="rect">
            <a:avLst/>
          </a:prstGeom>
          <a:ln>
            <a:solidFill>
              <a:srgbClr val="FF7C80"/>
            </a:solidFill>
          </a:ln>
        </xdr:spPr>
      </xdr:pic>
      <xdr:pic>
        <xdr:nvPicPr>
          <xdr:cNvPr id="5" name="Imagen 4">
            <a:extLst>
              <a:ext uri="{FF2B5EF4-FFF2-40B4-BE49-F238E27FC236}">
                <a16:creationId xmlns:a16="http://schemas.microsoft.com/office/drawing/2014/main" id="{4FB562DA-F350-84CB-0051-B1D9DAD85A8D}"/>
              </a:ext>
            </a:extLst>
          </xdr:cNvPr>
          <xdr:cNvPicPr>
            <a:picLocks noChangeAspect="1"/>
          </xdr:cNvPicPr>
        </xdr:nvPicPr>
        <xdr:blipFill>
          <a:blip xmlns:r="http://schemas.openxmlformats.org/officeDocument/2006/relationships" r:embed="rId2"/>
          <a:stretch>
            <a:fillRect/>
          </a:stretch>
        </xdr:blipFill>
        <xdr:spPr>
          <a:xfrm>
            <a:off x="4608286" y="524836"/>
            <a:ext cx="5673499" cy="2964531"/>
          </a:xfrm>
          <a:prstGeom prst="rect">
            <a:avLst/>
          </a:prstGeom>
          <a:ln>
            <a:solidFill>
              <a:srgbClr val="FF7C80"/>
            </a:solid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460375</xdr:colOff>
      <xdr:row>43</xdr:row>
      <xdr:rowOff>42334</xdr:rowOff>
    </xdr:from>
    <xdr:to>
      <xdr:col>32</xdr:col>
      <xdr:colOff>700682</xdr:colOff>
      <xdr:row>51</xdr:row>
      <xdr:rowOff>170089</xdr:rowOff>
    </xdr:to>
    <xdr:sp macro="" textlink="">
      <xdr:nvSpPr>
        <xdr:cNvPr id="3" name="Rectángulo 2">
          <a:extLst>
            <a:ext uri="{FF2B5EF4-FFF2-40B4-BE49-F238E27FC236}">
              <a16:creationId xmlns:a16="http://schemas.microsoft.com/office/drawing/2014/main" id="{F161A9D0-68A8-41BD-B6D8-F22BB6007F5F}"/>
            </a:ext>
          </a:extLst>
        </xdr:cNvPr>
        <xdr:cNvSpPr/>
      </xdr:nvSpPr>
      <xdr:spPr>
        <a:xfrm>
          <a:off x="36753800" y="5791200"/>
          <a:ext cx="233957" cy="2408464"/>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twoCellAnchor>
    <xdr:from>
      <xdr:col>30</xdr:col>
      <xdr:colOff>602116</xdr:colOff>
      <xdr:row>51</xdr:row>
      <xdr:rowOff>74839</xdr:rowOff>
    </xdr:from>
    <xdr:to>
      <xdr:col>32</xdr:col>
      <xdr:colOff>139473</xdr:colOff>
      <xdr:row>51</xdr:row>
      <xdr:rowOff>173490</xdr:rowOff>
    </xdr:to>
    <xdr:sp macro="" textlink="">
      <xdr:nvSpPr>
        <xdr:cNvPr id="4" name="Rectángulo 3">
          <a:extLst>
            <a:ext uri="{FF2B5EF4-FFF2-40B4-BE49-F238E27FC236}">
              <a16:creationId xmlns:a16="http://schemas.microsoft.com/office/drawing/2014/main" id="{A78FF55E-6771-45ED-9CE5-0C982FC27CC7}"/>
            </a:ext>
          </a:extLst>
        </xdr:cNvPr>
        <xdr:cNvSpPr/>
      </xdr:nvSpPr>
      <xdr:spPr>
        <a:xfrm>
          <a:off x="35269941" y="8104414"/>
          <a:ext cx="1162957" cy="98651"/>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35489</xdr:colOff>
          <xdr:row>108</xdr:row>
          <xdr:rowOff>102480</xdr:rowOff>
        </xdr:from>
        <xdr:to>
          <xdr:col>1</xdr:col>
          <xdr:colOff>802251</xdr:colOff>
          <xdr:row>109</xdr:row>
          <xdr:rowOff>93772</xdr:rowOff>
        </xdr:to>
        <xdr:pic>
          <xdr:nvPicPr>
            <xdr:cNvPr id="2" name="Imagen 1">
              <a:extLst>
                <a:ext uri="{FF2B5EF4-FFF2-40B4-BE49-F238E27FC236}">
                  <a16:creationId xmlns:a16="http://schemas.microsoft.com/office/drawing/2014/main" id="{549725FD-9A31-4D35-840F-19382D34D15B}"/>
                </a:ext>
              </a:extLst>
            </xdr:cNvPr>
            <xdr:cNvPicPr>
              <a:picLocks noChangeAspect="1"/>
              <a:extLst>
                <a:ext uri="{84589F7E-364E-4C9E-8A38-B11213B215E9}">
                  <a14:cameraTool cellRange="'[1]Anexo 1'!$G$46" spid="_x0000_s43242"/>
                </a:ext>
              </a:extLst>
            </xdr:cNvPicPr>
          </xdr:nvPicPr>
          <xdr:blipFill rotWithShape="1">
            <a:blip xmlns:r="http://schemas.openxmlformats.org/officeDocument/2006/relationships" r:embed="rId1"/>
            <a:srcRect b="50807"/>
            <a:stretch>
              <a:fillRect/>
            </a:stretch>
          </xdr:blipFill>
          <xdr:spPr>
            <a:xfrm>
              <a:off x="349814" y="13088230"/>
              <a:ext cx="766762" cy="162779"/>
            </a:xfrm>
            <a:prstGeom prst="rect">
              <a:avLst/>
            </a:prstGeom>
          </xdr:spPr>
        </xdr:pic>
        <xdr:clientData/>
      </xdr:twoCellAnchor>
    </mc:Choice>
    <mc:Fallback/>
  </mc:AlternateContent>
  <xdr:twoCellAnchor>
    <xdr:from>
      <xdr:col>1</xdr:col>
      <xdr:colOff>344715</xdr:colOff>
      <xdr:row>95</xdr:row>
      <xdr:rowOff>93142</xdr:rowOff>
    </xdr:from>
    <xdr:to>
      <xdr:col>9</xdr:col>
      <xdr:colOff>312737</xdr:colOff>
      <xdr:row>95</xdr:row>
      <xdr:rowOff>3255519</xdr:rowOff>
    </xdr:to>
    <xdr:grpSp>
      <xdr:nvGrpSpPr>
        <xdr:cNvPr id="15" name="Grupo 14">
          <a:extLst>
            <a:ext uri="{FF2B5EF4-FFF2-40B4-BE49-F238E27FC236}">
              <a16:creationId xmlns:a16="http://schemas.microsoft.com/office/drawing/2014/main" id="{E4EFF2D3-1B46-B433-580E-EB3F22AE7CDB}"/>
            </a:ext>
          </a:extLst>
        </xdr:cNvPr>
        <xdr:cNvGrpSpPr>
          <a:grpSpLocks noChangeAspect="1"/>
        </xdr:cNvGrpSpPr>
      </xdr:nvGrpSpPr>
      <xdr:grpSpPr>
        <a:xfrm>
          <a:off x="655735" y="19214988"/>
          <a:ext cx="6375004" cy="3162377"/>
          <a:chOff x="662215" y="2469856"/>
          <a:chExt cx="6883626" cy="3162377"/>
        </a:xfrm>
      </xdr:grpSpPr>
      <xdr:pic>
        <xdr:nvPicPr>
          <xdr:cNvPr id="3" name="Imagen 2">
            <a:extLst>
              <a:ext uri="{FF2B5EF4-FFF2-40B4-BE49-F238E27FC236}">
                <a16:creationId xmlns:a16="http://schemas.microsoft.com/office/drawing/2014/main" id="{E33056B1-BE30-4627-83E7-AD18AEE9039B}"/>
              </a:ext>
            </a:extLst>
          </xdr:cNvPr>
          <xdr:cNvPicPr>
            <a:picLocks noChangeAspect="1"/>
          </xdr:cNvPicPr>
        </xdr:nvPicPr>
        <xdr:blipFill>
          <a:blip xmlns:r="http://schemas.openxmlformats.org/officeDocument/2006/relationships" r:embed="rId2"/>
          <a:stretch>
            <a:fillRect/>
          </a:stretch>
        </xdr:blipFill>
        <xdr:spPr>
          <a:xfrm>
            <a:off x="662215" y="2469856"/>
            <a:ext cx="6883626" cy="3162377"/>
          </a:xfrm>
          <a:prstGeom prst="rect">
            <a:avLst/>
          </a:prstGeom>
        </xdr:spPr>
      </xdr:pic>
      <xdr:cxnSp macro="">
        <xdr:nvCxnSpPr>
          <xdr:cNvPr id="5" name="Conector recto 4">
            <a:extLst>
              <a:ext uri="{FF2B5EF4-FFF2-40B4-BE49-F238E27FC236}">
                <a16:creationId xmlns:a16="http://schemas.microsoft.com/office/drawing/2014/main" id="{8F574584-5EF3-4C77-AF74-14ED6DADC107}"/>
              </a:ext>
            </a:extLst>
          </xdr:cNvPr>
          <xdr:cNvCxnSpPr/>
        </xdr:nvCxnSpPr>
        <xdr:spPr>
          <a:xfrm>
            <a:off x="5869214" y="2685142"/>
            <a:ext cx="1451430"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xdr:col>
      <xdr:colOff>102454</xdr:colOff>
      <xdr:row>97</xdr:row>
      <xdr:rowOff>107186</xdr:rowOff>
    </xdr:from>
    <xdr:to>
      <xdr:col>9</xdr:col>
      <xdr:colOff>374369</xdr:colOff>
      <xdr:row>97</xdr:row>
      <xdr:rowOff>3154739</xdr:rowOff>
    </xdr:to>
    <xdr:grpSp>
      <xdr:nvGrpSpPr>
        <xdr:cNvPr id="16" name="Grupo 15">
          <a:extLst>
            <a:ext uri="{FF2B5EF4-FFF2-40B4-BE49-F238E27FC236}">
              <a16:creationId xmlns:a16="http://schemas.microsoft.com/office/drawing/2014/main" id="{1C8E5DDC-2154-2D05-E8D3-79F1405B5E50}"/>
            </a:ext>
          </a:extLst>
        </xdr:cNvPr>
        <xdr:cNvGrpSpPr>
          <a:grpSpLocks noChangeAspect="1"/>
        </xdr:cNvGrpSpPr>
      </xdr:nvGrpSpPr>
      <xdr:grpSpPr>
        <a:xfrm>
          <a:off x="409664" y="22809771"/>
          <a:ext cx="6678897" cy="3047553"/>
          <a:chOff x="453572" y="6061218"/>
          <a:chExt cx="7187519" cy="3047553"/>
        </a:xfrm>
      </xdr:grpSpPr>
      <xdr:pic>
        <xdr:nvPicPr>
          <xdr:cNvPr id="4" name="Imagen 3">
            <a:extLst>
              <a:ext uri="{FF2B5EF4-FFF2-40B4-BE49-F238E27FC236}">
                <a16:creationId xmlns:a16="http://schemas.microsoft.com/office/drawing/2014/main" id="{9E537512-2436-4B92-8C29-A93D84E3E367}"/>
              </a:ext>
            </a:extLst>
          </xdr:cNvPr>
          <xdr:cNvPicPr>
            <a:picLocks noChangeAspect="1"/>
          </xdr:cNvPicPr>
        </xdr:nvPicPr>
        <xdr:blipFill>
          <a:blip xmlns:r="http://schemas.openxmlformats.org/officeDocument/2006/relationships" r:embed="rId3"/>
          <a:stretch>
            <a:fillRect/>
          </a:stretch>
        </xdr:blipFill>
        <xdr:spPr>
          <a:xfrm>
            <a:off x="453572" y="6061218"/>
            <a:ext cx="7187519" cy="3047553"/>
          </a:xfrm>
          <a:prstGeom prst="rect">
            <a:avLst/>
          </a:prstGeom>
        </xdr:spPr>
      </xdr:pic>
      <xdr:cxnSp macro="">
        <xdr:nvCxnSpPr>
          <xdr:cNvPr id="6" name="Conector recto 5">
            <a:extLst>
              <a:ext uri="{FF2B5EF4-FFF2-40B4-BE49-F238E27FC236}">
                <a16:creationId xmlns:a16="http://schemas.microsoft.com/office/drawing/2014/main" id="{FC8FBF0F-BDD7-4A92-A9BF-3CAB2FF1954B}"/>
              </a:ext>
            </a:extLst>
          </xdr:cNvPr>
          <xdr:cNvCxnSpPr/>
        </xdr:nvCxnSpPr>
        <xdr:spPr>
          <a:xfrm>
            <a:off x="6141357" y="6295571"/>
            <a:ext cx="1451429"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0</xdr:col>
      <xdr:colOff>211836</xdr:colOff>
      <xdr:row>114</xdr:row>
      <xdr:rowOff>16136</xdr:rowOff>
    </xdr:from>
    <xdr:to>
      <xdr:col>8</xdr:col>
      <xdr:colOff>365450</xdr:colOff>
      <xdr:row>125</xdr:row>
      <xdr:rowOff>20364</xdr:rowOff>
    </xdr:to>
    <xdr:pic>
      <xdr:nvPicPr>
        <xdr:cNvPr id="9" name="Imagen 6">
          <a:extLst>
            <a:ext uri="{FF2B5EF4-FFF2-40B4-BE49-F238E27FC236}">
              <a16:creationId xmlns:a16="http://schemas.microsoft.com/office/drawing/2014/main" id="{D1670B2B-A4D0-4007-999C-C47480A5ABB8}"/>
            </a:ext>
          </a:extLst>
        </xdr:cNvPr>
        <xdr:cNvPicPr>
          <a:picLocks noChangeAspect="1"/>
        </xdr:cNvPicPr>
      </xdr:nvPicPr>
      <xdr:blipFill rotWithShape="1">
        <a:blip xmlns:r="http://schemas.openxmlformats.org/officeDocument/2006/relationships" r:embed="rId4"/>
        <a:srcRect b="50807"/>
        <a:stretch/>
      </xdr:blipFill>
      <xdr:spPr>
        <a:xfrm>
          <a:off x="220726" y="27045671"/>
          <a:ext cx="6288958" cy="1620238"/>
        </a:xfrm>
        <a:prstGeom prst="rect">
          <a:avLst/>
        </a:prstGeom>
      </xdr:spPr>
    </xdr:pic>
    <xdr:clientData/>
  </xdr:twoCellAnchor>
  <xdr:twoCellAnchor editAs="oneCell">
    <xdr:from>
      <xdr:col>6</xdr:col>
      <xdr:colOff>217718</xdr:colOff>
      <xdr:row>22</xdr:row>
      <xdr:rowOff>33244</xdr:rowOff>
    </xdr:from>
    <xdr:to>
      <xdr:col>9</xdr:col>
      <xdr:colOff>434424</xdr:colOff>
      <xdr:row>29</xdr:row>
      <xdr:rowOff>1121919</xdr:rowOff>
    </xdr:to>
    <xdr:pic>
      <xdr:nvPicPr>
        <xdr:cNvPr id="10" name="Imagen 9">
          <a:extLst>
            <a:ext uri="{FF2B5EF4-FFF2-40B4-BE49-F238E27FC236}">
              <a16:creationId xmlns:a16="http://schemas.microsoft.com/office/drawing/2014/main" id="{4F2C6E7D-FA22-41D0-B9D7-6721F1D13774}"/>
            </a:ext>
          </a:extLst>
        </xdr:cNvPr>
        <xdr:cNvPicPr>
          <a:picLocks noChangeAspect="1"/>
        </xdr:cNvPicPr>
      </xdr:nvPicPr>
      <xdr:blipFill>
        <a:blip xmlns:r="http://schemas.openxmlformats.org/officeDocument/2006/relationships" r:embed="rId5"/>
        <a:stretch>
          <a:fillRect/>
        </a:stretch>
      </xdr:blipFill>
      <xdr:spPr>
        <a:xfrm>
          <a:off x="5216075" y="4432887"/>
          <a:ext cx="2034348" cy="2229134"/>
        </a:xfrm>
        <a:prstGeom prst="rect">
          <a:avLst/>
        </a:prstGeom>
      </xdr:spPr>
    </xdr:pic>
    <xdr:clientData/>
  </xdr:twoCellAnchor>
  <xdr:twoCellAnchor editAs="oneCell">
    <xdr:from>
      <xdr:col>27</xdr:col>
      <xdr:colOff>272142</xdr:colOff>
      <xdr:row>22</xdr:row>
      <xdr:rowOff>99791</xdr:rowOff>
    </xdr:from>
    <xdr:to>
      <xdr:col>30</xdr:col>
      <xdr:colOff>476995</xdr:colOff>
      <xdr:row>29</xdr:row>
      <xdr:rowOff>854989</xdr:rowOff>
    </xdr:to>
    <xdr:pic>
      <xdr:nvPicPr>
        <xdr:cNvPr id="12" name="Imagen 11">
          <a:extLst>
            <a:ext uri="{FF2B5EF4-FFF2-40B4-BE49-F238E27FC236}">
              <a16:creationId xmlns:a16="http://schemas.microsoft.com/office/drawing/2014/main" id="{5E436394-29DD-47E2-A795-2B99E3C16014}"/>
            </a:ext>
          </a:extLst>
        </xdr:cNvPr>
        <xdr:cNvPicPr>
          <a:picLocks noChangeAspect="1"/>
        </xdr:cNvPicPr>
      </xdr:nvPicPr>
      <xdr:blipFill>
        <a:blip xmlns:r="http://schemas.openxmlformats.org/officeDocument/2006/relationships" r:embed="rId6"/>
        <a:stretch>
          <a:fillRect/>
        </a:stretch>
      </xdr:blipFill>
      <xdr:spPr>
        <a:xfrm>
          <a:off x="21125542" y="24639366"/>
          <a:ext cx="2028572" cy="1900011"/>
        </a:xfrm>
        <a:prstGeom prst="rect">
          <a:avLst/>
        </a:prstGeom>
      </xdr:spPr>
    </xdr:pic>
    <xdr:clientData/>
  </xdr:twoCellAnchor>
  <xdr:twoCellAnchor editAs="oneCell">
    <xdr:from>
      <xdr:col>38</xdr:col>
      <xdr:colOff>93939</xdr:colOff>
      <xdr:row>23</xdr:row>
      <xdr:rowOff>81642</xdr:rowOff>
    </xdr:from>
    <xdr:to>
      <xdr:col>41</xdr:col>
      <xdr:colOff>459923</xdr:colOff>
      <xdr:row>29</xdr:row>
      <xdr:rowOff>1006477</xdr:rowOff>
    </xdr:to>
    <xdr:pic>
      <xdr:nvPicPr>
        <xdr:cNvPr id="13" name="Imagen 12">
          <a:extLst>
            <a:ext uri="{FF2B5EF4-FFF2-40B4-BE49-F238E27FC236}">
              <a16:creationId xmlns:a16="http://schemas.microsoft.com/office/drawing/2014/main" id="{7E4446BC-A32D-4E1F-8E5A-281CDAF21BFE}"/>
            </a:ext>
          </a:extLst>
        </xdr:cNvPr>
        <xdr:cNvPicPr>
          <a:picLocks noChangeAspect="1"/>
        </xdr:cNvPicPr>
      </xdr:nvPicPr>
      <xdr:blipFill>
        <a:blip xmlns:r="http://schemas.openxmlformats.org/officeDocument/2006/relationships" r:embed="rId7"/>
        <a:stretch>
          <a:fillRect/>
        </a:stretch>
      </xdr:blipFill>
      <xdr:spPr>
        <a:xfrm>
          <a:off x="28659414" y="24802192"/>
          <a:ext cx="2194783" cy="1906815"/>
        </a:xfrm>
        <a:prstGeom prst="rect">
          <a:avLst/>
        </a:prstGeom>
      </xdr:spPr>
    </xdr:pic>
    <xdr:clientData/>
  </xdr:twoCellAnchor>
  <xdr:twoCellAnchor editAs="oneCell">
    <xdr:from>
      <xdr:col>17</xdr:col>
      <xdr:colOff>4538</xdr:colOff>
      <xdr:row>22</xdr:row>
      <xdr:rowOff>24366</xdr:rowOff>
    </xdr:from>
    <xdr:to>
      <xdr:col>19</xdr:col>
      <xdr:colOff>135828</xdr:colOff>
      <xdr:row>29</xdr:row>
      <xdr:rowOff>1124629</xdr:rowOff>
    </xdr:to>
    <xdr:pic>
      <xdr:nvPicPr>
        <xdr:cNvPr id="14" name="Imagen 13">
          <a:extLst>
            <a:ext uri="{FF2B5EF4-FFF2-40B4-BE49-F238E27FC236}">
              <a16:creationId xmlns:a16="http://schemas.microsoft.com/office/drawing/2014/main" id="{42325B12-7651-4A7C-82BD-2017C684AA7F}"/>
            </a:ext>
          </a:extLst>
        </xdr:cNvPr>
        <xdr:cNvPicPr>
          <a:picLocks noChangeAspect="1"/>
        </xdr:cNvPicPr>
      </xdr:nvPicPr>
      <xdr:blipFill>
        <a:blip xmlns:r="http://schemas.openxmlformats.org/officeDocument/2006/relationships" r:embed="rId8"/>
        <a:stretch>
          <a:fillRect/>
        </a:stretch>
      </xdr:blipFill>
      <xdr:spPr>
        <a:xfrm>
          <a:off x="12795252" y="4505652"/>
          <a:ext cx="1440751" cy="2231832"/>
        </a:xfrm>
        <a:prstGeom prst="rect">
          <a:avLst/>
        </a:prstGeom>
      </xdr:spPr>
    </xdr:pic>
    <xdr:clientData/>
  </xdr:twoCellAnchor>
  <xdr:twoCellAnchor>
    <xdr:from>
      <xdr:col>1</xdr:col>
      <xdr:colOff>9073</xdr:colOff>
      <xdr:row>40</xdr:row>
      <xdr:rowOff>127000</xdr:rowOff>
    </xdr:from>
    <xdr:to>
      <xdr:col>8</xdr:col>
      <xdr:colOff>235857</xdr:colOff>
      <xdr:row>60</xdr:row>
      <xdr:rowOff>117929</xdr:rowOff>
    </xdr:to>
    <xdr:grpSp>
      <xdr:nvGrpSpPr>
        <xdr:cNvPr id="23" name="Grupo 22">
          <a:extLst>
            <a:ext uri="{FF2B5EF4-FFF2-40B4-BE49-F238E27FC236}">
              <a16:creationId xmlns:a16="http://schemas.microsoft.com/office/drawing/2014/main" id="{5655D2C4-49E2-37A8-542C-233C9FFF9263}"/>
            </a:ext>
          </a:extLst>
        </xdr:cNvPr>
        <xdr:cNvGrpSpPr>
          <a:grpSpLocks noChangeAspect="1"/>
        </xdr:cNvGrpSpPr>
      </xdr:nvGrpSpPr>
      <xdr:grpSpPr>
        <a:xfrm>
          <a:off x="321998" y="9276754"/>
          <a:ext cx="5854310" cy="3486098"/>
          <a:chOff x="789216" y="8545285"/>
          <a:chExt cx="6349998" cy="3800929"/>
        </a:xfrm>
      </xdr:grpSpPr>
      <xdr:sp macro="" textlink="">
        <xdr:nvSpPr>
          <xdr:cNvPr id="21" name="Rectángulo 20">
            <a:extLst>
              <a:ext uri="{FF2B5EF4-FFF2-40B4-BE49-F238E27FC236}">
                <a16:creationId xmlns:a16="http://schemas.microsoft.com/office/drawing/2014/main" id="{7E394000-50AD-479E-AF48-FDCB49F023C1}"/>
              </a:ext>
            </a:extLst>
          </xdr:cNvPr>
          <xdr:cNvSpPr/>
        </xdr:nvSpPr>
        <xdr:spPr>
          <a:xfrm>
            <a:off x="789216" y="8545285"/>
            <a:ext cx="6349998" cy="3800929"/>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9" name="Grupo 18">
            <a:extLst>
              <a:ext uri="{FF2B5EF4-FFF2-40B4-BE49-F238E27FC236}">
                <a16:creationId xmlns:a16="http://schemas.microsoft.com/office/drawing/2014/main" id="{3638706F-99F3-062C-24E2-B903C30E3A99}"/>
              </a:ext>
            </a:extLst>
          </xdr:cNvPr>
          <xdr:cNvGrpSpPr/>
        </xdr:nvGrpSpPr>
        <xdr:grpSpPr>
          <a:xfrm>
            <a:off x="970644" y="8681356"/>
            <a:ext cx="5996215" cy="3424691"/>
            <a:chOff x="970644" y="435429"/>
            <a:chExt cx="5996215" cy="3424691"/>
          </a:xfrm>
        </xdr:grpSpPr>
        <xdr:grpSp>
          <xdr:nvGrpSpPr>
            <xdr:cNvPr id="17" name="Grupo 16">
              <a:extLst>
                <a:ext uri="{FF2B5EF4-FFF2-40B4-BE49-F238E27FC236}">
                  <a16:creationId xmlns:a16="http://schemas.microsoft.com/office/drawing/2014/main" id="{DAA49B9E-56BD-7D86-E19F-4DEA938A51A8}"/>
                </a:ext>
              </a:extLst>
            </xdr:cNvPr>
            <xdr:cNvGrpSpPr/>
          </xdr:nvGrpSpPr>
          <xdr:grpSpPr>
            <a:xfrm>
              <a:off x="970644" y="814155"/>
              <a:ext cx="5996215" cy="3045965"/>
              <a:chOff x="970644" y="1521727"/>
              <a:chExt cx="5996215" cy="3045965"/>
            </a:xfrm>
          </xdr:grpSpPr>
          <xdr:sp macro="" textlink="">
            <xdr:nvSpPr>
              <xdr:cNvPr id="8" name="CuadroTexto 7">
                <a:extLst>
                  <a:ext uri="{FF2B5EF4-FFF2-40B4-BE49-F238E27FC236}">
                    <a16:creationId xmlns:a16="http://schemas.microsoft.com/office/drawing/2014/main" id="{F0FCA765-190E-488C-910C-354AF4D386A4}"/>
                  </a:ext>
                </a:extLst>
              </xdr:cNvPr>
              <xdr:cNvSpPr txBox="1"/>
            </xdr:nvSpPr>
            <xdr:spPr>
              <a:xfrm>
                <a:off x="5193743" y="4132385"/>
                <a:ext cx="1773116" cy="24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 Fachada expuesta al sol</a:t>
                </a:r>
              </a:p>
            </xdr:txBody>
          </xdr:sp>
          <xdr:pic>
            <xdr:nvPicPr>
              <xdr:cNvPr id="11" name="Imagen 10">
                <a:extLst>
                  <a:ext uri="{FF2B5EF4-FFF2-40B4-BE49-F238E27FC236}">
                    <a16:creationId xmlns:a16="http://schemas.microsoft.com/office/drawing/2014/main" id="{55ACCD79-1921-4FD5-88C0-3BEEDBA1D75D}"/>
                  </a:ext>
                </a:extLst>
              </xdr:cNvPr>
              <xdr:cNvPicPr>
                <a:picLocks noChangeAspect="1"/>
              </xdr:cNvPicPr>
            </xdr:nvPicPr>
            <xdr:blipFill>
              <a:blip xmlns:r="http://schemas.openxmlformats.org/officeDocument/2006/relationships" r:embed="rId9"/>
              <a:stretch>
                <a:fillRect/>
              </a:stretch>
            </xdr:blipFill>
            <xdr:spPr>
              <a:xfrm>
                <a:off x="970644" y="1521727"/>
                <a:ext cx="4085760" cy="3045965"/>
              </a:xfrm>
              <a:prstGeom prst="rect">
                <a:avLst/>
              </a:prstGeom>
            </xdr:spPr>
          </xdr:pic>
        </xdr:grpSp>
        <xdr:sp macro="" textlink="">
          <xdr:nvSpPr>
            <xdr:cNvPr id="18" name="CuadroTexto 17">
              <a:extLst>
                <a:ext uri="{FF2B5EF4-FFF2-40B4-BE49-F238E27FC236}">
                  <a16:creationId xmlns:a16="http://schemas.microsoft.com/office/drawing/2014/main" id="{21E9AC6A-D166-49FF-BEC8-A2DF41694141}"/>
                </a:ext>
              </a:extLst>
            </xdr:cNvPr>
            <xdr:cNvSpPr txBox="1"/>
          </xdr:nvSpPr>
          <xdr:spPr>
            <a:xfrm>
              <a:off x="1741713" y="435429"/>
              <a:ext cx="304800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 N°1 - LIMITES SHGC MINERGIE</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31750</xdr:colOff>
          <xdr:row>108</xdr:row>
          <xdr:rowOff>82550</xdr:rowOff>
        </xdr:from>
        <xdr:to>
          <xdr:col>1</xdr:col>
          <xdr:colOff>666750</xdr:colOff>
          <xdr:row>109</xdr:row>
          <xdr:rowOff>76200</xdr:rowOff>
        </xdr:to>
        <xdr:pic>
          <xdr:nvPicPr>
            <xdr:cNvPr id="43182" name="Imagen 1">
              <a:extLst>
                <a:ext uri="{FF2B5EF4-FFF2-40B4-BE49-F238E27FC236}">
                  <a16:creationId xmlns:a16="http://schemas.microsoft.com/office/drawing/2014/main" id="{A5B258AE-E187-4332-31E4-D5C3FF6AA8C5}"/>
                </a:ext>
              </a:extLst>
            </xdr:cNvPr>
            <xdr:cNvPicPr>
              <a:picLocks noChangeAspect="1" noChangeArrowheads="1"/>
              <a:extLst>
                <a:ext uri="{84589F7E-364E-4C9E-8A38-B11213B215E9}">
                  <a14:cameraTool cellRange="'[1]Anexo 1'!$G$46" spid="_x0000_s43243"/>
                </a:ext>
              </a:extLst>
            </xdr:cNvPicPr>
          </xdr:nvPicPr>
          <xdr:blipFill>
            <a:blip xmlns:r="http://schemas.openxmlformats.org/officeDocument/2006/relationships" r:embed="rId1">
              <a:extLst>
                <a:ext uri="{28A0092B-C50C-407E-A947-70E740481C1C}">
                  <a14:useLocalDpi val="0"/>
                </a:ext>
              </a:extLst>
            </a:blip>
            <a:srcRect b="50807"/>
            <a:stretch>
              <a:fillRect/>
            </a:stretch>
          </xdr:blipFill>
          <xdr:spPr bwMode="auto">
            <a:xfrm>
              <a:off x="349250" y="26892250"/>
              <a:ext cx="635000" cy="15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125412</xdr:colOff>
      <xdr:row>1</xdr:row>
      <xdr:rowOff>109537</xdr:rowOff>
    </xdr:from>
    <xdr:to>
      <xdr:col>14</xdr:col>
      <xdr:colOff>125412</xdr:colOff>
      <xdr:row>19</xdr:row>
      <xdr:rowOff>131762</xdr:rowOff>
    </xdr:to>
    <xdr:graphicFrame macro="">
      <xdr:nvGraphicFramePr>
        <xdr:cNvPr id="2" name="Gráfico 1">
          <a:extLst>
            <a:ext uri="{FF2B5EF4-FFF2-40B4-BE49-F238E27FC236}">
              <a16:creationId xmlns:a16="http://schemas.microsoft.com/office/drawing/2014/main" id="{52168343-559C-4352-97A8-24AA4D8E8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80965</xdr:colOff>
      <xdr:row>0</xdr:row>
      <xdr:rowOff>0</xdr:rowOff>
    </xdr:from>
    <xdr:to>
      <xdr:col>20</xdr:col>
      <xdr:colOff>440408</xdr:colOff>
      <xdr:row>18</xdr:row>
      <xdr:rowOff>121790</xdr:rowOff>
    </xdr:to>
    <xdr:pic>
      <xdr:nvPicPr>
        <xdr:cNvPr id="3" name="Imagen 2">
          <a:extLst>
            <a:ext uri="{FF2B5EF4-FFF2-40B4-BE49-F238E27FC236}">
              <a16:creationId xmlns:a16="http://schemas.microsoft.com/office/drawing/2014/main" id="{36B21B5D-2A35-4CD1-AF14-485B16E52459}"/>
            </a:ext>
          </a:extLst>
        </xdr:cNvPr>
        <xdr:cNvPicPr>
          <a:picLocks noChangeAspect="1"/>
        </xdr:cNvPicPr>
      </xdr:nvPicPr>
      <xdr:blipFill>
        <a:blip xmlns:r="http://schemas.openxmlformats.org/officeDocument/2006/relationships" r:embed="rId2"/>
        <a:stretch>
          <a:fillRect/>
        </a:stretch>
      </xdr:blipFill>
      <xdr:spPr>
        <a:xfrm>
          <a:off x="11761790" y="0"/>
          <a:ext cx="4156743" cy="3626990"/>
        </a:xfrm>
        <a:prstGeom prst="rect">
          <a:avLst/>
        </a:prstGeom>
      </xdr:spPr>
    </xdr:pic>
    <xdr:clientData/>
  </xdr:twoCellAnchor>
  <xdr:absoluteAnchor>
    <xdr:pos x="36385657" y="221251"/>
    <xdr:ext cx="1864360" cy="3012440"/>
    <xdr:grpSp>
      <xdr:nvGrpSpPr>
        <xdr:cNvPr id="4" name="Group 17">
          <a:extLst>
            <a:ext uri="{FF2B5EF4-FFF2-40B4-BE49-F238E27FC236}">
              <a16:creationId xmlns:a16="http://schemas.microsoft.com/office/drawing/2014/main" id="{659BAF5E-BE00-41B3-8A38-145A26003844}"/>
            </a:ext>
          </a:extLst>
        </xdr:cNvPr>
        <xdr:cNvGrpSpPr/>
      </xdr:nvGrpSpPr>
      <xdr:grpSpPr>
        <a:xfrm>
          <a:off x="36385657" y="221251"/>
          <a:ext cx="1864360" cy="3012440"/>
          <a:chOff x="0" y="0"/>
          <a:chExt cx="1864360" cy="3012440"/>
        </a:xfrm>
      </xdr:grpSpPr>
      <xdr:sp macro="" textlink="">
        <xdr:nvSpPr>
          <xdr:cNvPr id="5" name="Shape 18">
            <a:extLst>
              <a:ext uri="{FF2B5EF4-FFF2-40B4-BE49-F238E27FC236}">
                <a16:creationId xmlns:a16="http://schemas.microsoft.com/office/drawing/2014/main" id="{2ED5953E-29B5-E941-DC67-8DC2D5718E43}"/>
              </a:ext>
            </a:extLst>
          </xdr:cNvPr>
          <xdr:cNvSpPr/>
        </xdr:nvSpPr>
        <xdr:spPr>
          <a:xfrm>
            <a:off x="412381" y="47332"/>
            <a:ext cx="1243965" cy="2719705"/>
          </a:xfrm>
          <a:custGeom>
            <a:avLst/>
            <a:gdLst/>
            <a:ahLst/>
            <a:cxnLst/>
            <a:rect l="0" t="0" r="0" b="0"/>
            <a:pathLst>
              <a:path w="1243965" h="2719705">
                <a:moveTo>
                  <a:pt x="1243952" y="0"/>
                </a:moveTo>
                <a:lnTo>
                  <a:pt x="1243952" y="1954707"/>
                </a:lnTo>
                <a:lnTo>
                  <a:pt x="0" y="2719438"/>
                </a:lnTo>
                <a:lnTo>
                  <a:pt x="0" y="737590"/>
                </a:lnTo>
                <a:lnTo>
                  <a:pt x="1243952" y="0"/>
                </a:lnTo>
                <a:close/>
              </a:path>
            </a:pathLst>
          </a:custGeom>
          <a:ln w="12699">
            <a:solidFill>
              <a:srgbClr val="000000"/>
            </a:solidFill>
          </a:ln>
        </xdr:spPr>
      </xdr:sp>
      <xdr:sp macro="" textlink="">
        <xdr:nvSpPr>
          <xdr:cNvPr id="6" name="Shape 19">
            <a:extLst>
              <a:ext uri="{FF2B5EF4-FFF2-40B4-BE49-F238E27FC236}">
                <a16:creationId xmlns:a16="http://schemas.microsoft.com/office/drawing/2014/main" id="{B83A2F63-ACC6-6AF5-A2EB-52799E81D2EF}"/>
              </a:ext>
            </a:extLst>
          </xdr:cNvPr>
          <xdr:cNvSpPr/>
        </xdr:nvSpPr>
        <xdr:spPr>
          <a:xfrm>
            <a:off x="6350" y="45796"/>
            <a:ext cx="1243965" cy="2719705"/>
          </a:xfrm>
          <a:custGeom>
            <a:avLst/>
            <a:gdLst/>
            <a:ahLst/>
            <a:cxnLst/>
            <a:rect l="0" t="0" r="0" b="0"/>
            <a:pathLst>
              <a:path w="1243965" h="2719705">
                <a:moveTo>
                  <a:pt x="1243939" y="0"/>
                </a:moveTo>
                <a:lnTo>
                  <a:pt x="1243939" y="1954758"/>
                </a:lnTo>
                <a:lnTo>
                  <a:pt x="0" y="2719438"/>
                </a:lnTo>
                <a:lnTo>
                  <a:pt x="0" y="737590"/>
                </a:lnTo>
                <a:lnTo>
                  <a:pt x="1243939" y="0"/>
                </a:lnTo>
                <a:close/>
              </a:path>
            </a:pathLst>
          </a:custGeom>
          <a:ln w="12699">
            <a:solidFill>
              <a:srgbClr val="000000"/>
            </a:solidFill>
          </a:ln>
        </xdr:spPr>
      </xdr:sp>
      <xdr:sp macro="" textlink="">
        <xdr:nvSpPr>
          <xdr:cNvPr id="7" name="Shape 20">
            <a:extLst>
              <a:ext uri="{FF2B5EF4-FFF2-40B4-BE49-F238E27FC236}">
                <a16:creationId xmlns:a16="http://schemas.microsoft.com/office/drawing/2014/main" id="{2B4F2EC1-38D4-B959-9B54-39C94AA6963E}"/>
              </a:ext>
            </a:extLst>
          </xdr:cNvPr>
          <xdr:cNvSpPr/>
        </xdr:nvSpPr>
        <xdr:spPr>
          <a:xfrm>
            <a:off x="977976" y="2531808"/>
            <a:ext cx="102870" cy="79375"/>
          </a:xfrm>
          <a:custGeom>
            <a:avLst/>
            <a:gdLst/>
            <a:ahLst/>
            <a:cxnLst/>
            <a:rect l="0" t="0" r="0" b="0"/>
            <a:pathLst>
              <a:path w="102870" h="79375">
                <a:moveTo>
                  <a:pt x="98844" y="0"/>
                </a:moveTo>
                <a:lnTo>
                  <a:pt x="93586" y="317"/>
                </a:lnTo>
                <a:lnTo>
                  <a:pt x="92570" y="876"/>
                </a:lnTo>
                <a:lnTo>
                  <a:pt x="92087" y="2235"/>
                </a:lnTo>
                <a:lnTo>
                  <a:pt x="74879" y="67627"/>
                </a:lnTo>
                <a:lnTo>
                  <a:pt x="56197" y="876"/>
                </a:lnTo>
                <a:lnTo>
                  <a:pt x="54559" y="203"/>
                </a:lnTo>
                <a:lnTo>
                  <a:pt x="47536" y="203"/>
                </a:lnTo>
                <a:lnTo>
                  <a:pt x="46151" y="635"/>
                </a:lnTo>
                <a:lnTo>
                  <a:pt x="45351" y="1841"/>
                </a:lnTo>
                <a:lnTo>
                  <a:pt x="28562" y="67627"/>
                </a:lnTo>
                <a:lnTo>
                  <a:pt x="10464" y="800"/>
                </a:lnTo>
                <a:lnTo>
                  <a:pt x="9436" y="254"/>
                </a:lnTo>
                <a:lnTo>
                  <a:pt x="1358" y="203"/>
                </a:lnTo>
                <a:lnTo>
                  <a:pt x="114" y="939"/>
                </a:lnTo>
                <a:lnTo>
                  <a:pt x="0" y="2387"/>
                </a:lnTo>
                <a:lnTo>
                  <a:pt x="21348" y="77216"/>
                </a:lnTo>
                <a:lnTo>
                  <a:pt x="22390" y="78155"/>
                </a:lnTo>
                <a:lnTo>
                  <a:pt x="24244" y="78651"/>
                </a:lnTo>
                <a:lnTo>
                  <a:pt x="32435" y="78651"/>
                </a:lnTo>
                <a:lnTo>
                  <a:pt x="34162" y="78155"/>
                </a:lnTo>
                <a:lnTo>
                  <a:pt x="35128" y="77216"/>
                </a:lnTo>
                <a:lnTo>
                  <a:pt x="50545" y="17208"/>
                </a:lnTo>
                <a:lnTo>
                  <a:pt x="67411" y="77216"/>
                </a:lnTo>
                <a:lnTo>
                  <a:pt x="67970" y="77901"/>
                </a:lnTo>
                <a:lnTo>
                  <a:pt x="69519" y="78524"/>
                </a:lnTo>
                <a:lnTo>
                  <a:pt x="76504" y="78816"/>
                </a:lnTo>
                <a:lnTo>
                  <a:pt x="79971" y="78155"/>
                </a:lnTo>
                <a:lnTo>
                  <a:pt x="81051" y="77216"/>
                </a:lnTo>
                <a:lnTo>
                  <a:pt x="81457" y="76200"/>
                </a:lnTo>
                <a:lnTo>
                  <a:pt x="102171" y="4102"/>
                </a:lnTo>
                <a:lnTo>
                  <a:pt x="102527" y="1409"/>
                </a:lnTo>
                <a:lnTo>
                  <a:pt x="102374" y="1003"/>
                </a:lnTo>
                <a:lnTo>
                  <a:pt x="101726" y="444"/>
                </a:lnTo>
                <a:lnTo>
                  <a:pt x="98844" y="0"/>
                </a:lnTo>
                <a:close/>
              </a:path>
            </a:pathLst>
          </a:custGeom>
          <a:solidFill>
            <a:srgbClr val="000000"/>
          </a:solidFill>
        </xdr:spPr>
      </xdr:sp>
      <xdr:sp macro="" textlink="">
        <xdr:nvSpPr>
          <xdr:cNvPr id="8" name="Shape 21">
            <a:extLst>
              <a:ext uri="{FF2B5EF4-FFF2-40B4-BE49-F238E27FC236}">
                <a16:creationId xmlns:a16="http://schemas.microsoft.com/office/drawing/2014/main" id="{B2F3C8D5-DA3D-5329-C928-73B45BF17C9A}"/>
              </a:ext>
            </a:extLst>
          </xdr:cNvPr>
          <xdr:cNvSpPr/>
        </xdr:nvSpPr>
        <xdr:spPr>
          <a:xfrm>
            <a:off x="1665858" y="2101405"/>
            <a:ext cx="0" cy="143510"/>
          </a:xfrm>
          <a:custGeom>
            <a:avLst/>
            <a:gdLst/>
            <a:ahLst/>
            <a:cxnLst/>
            <a:rect l="0" t="0" r="0" b="0"/>
            <a:pathLst>
              <a:path h="143510">
                <a:moveTo>
                  <a:pt x="0" y="0"/>
                </a:moveTo>
                <a:lnTo>
                  <a:pt x="0" y="143129"/>
                </a:lnTo>
              </a:path>
            </a:pathLst>
          </a:custGeom>
          <a:ln w="6350">
            <a:solidFill>
              <a:srgbClr val="000000"/>
            </a:solidFill>
          </a:ln>
        </xdr:spPr>
      </xdr:sp>
      <xdr:sp macro="" textlink="">
        <xdr:nvSpPr>
          <xdr:cNvPr id="9" name="Shape 22">
            <a:extLst>
              <a:ext uri="{FF2B5EF4-FFF2-40B4-BE49-F238E27FC236}">
                <a16:creationId xmlns:a16="http://schemas.microsoft.com/office/drawing/2014/main" id="{94F6D4EE-8498-7375-7837-EC80542B174E}"/>
              </a:ext>
            </a:extLst>
          </xdr:cNvPr>
          <xdr:cNvSpPr/>
        </xdr:nvSpPr>
        <xdr:spPr>
          <a:xfrm>
            <a:off x="1784883" y="998512"/>
            <a:ext cx="56515" cy="79375"/>
          </a:xfrm>
          <a:custGeom>
            <a:avLst/>
            <a:gdLst/>
            <a:ahLst/>
            <a:cxnLst/>
            <a:rect l="0" t="0" r="0" b="0"/>
            <a:pathLst>
              <a:path w="56515" h="79375">
                <a:moveTo>
                  <a:pt x="50088" y="0"/>
                </a:moveTo>
                <a:lnTo>
                  <a:pt x="46634" y="660"/>
                </a:lnTo>
                <a:lnTo>
                  <a:pt x="46024" y="1333"/>
                </a:lnTo>
                <a:lnTo>
                  <a:pt x="45948" y="33210"/>
                </a:lnTo>
                <a:lnTo>
                  <a:pt x="10388" y="33210"/>
                </a:lnTo>
                <a:lnTo>
                  <a:pt x="10388" y="1612"/>
                </a:lnTo>
                <a:lnTo>
                  <a:pt x="9982" y="850"/>
                </a:lnTo>
                <a:lnTo>
                  <a:pt x="8356" y="253"/>
                </a:lnTo>
                <a:lnTo>
                  <a:pt x="6197" y="0"/>
                </a:lnTo>
                <a:lnTo>
                  <a:pt x="1485" y="368"/>
                </a:lnTo>
                <a:lnTo>
                  <a:pt x="393" y="850"/>
                </a:lnTo>
                <a:lnTo>
                  <a:pt x="0" y="1612"/>
                </a:lnTo>
                <a:lnTo>
                  <a:pt x="76" y="77533"/>
                </a:lnTo>
                <a:lnTo>
                  <a:pt x="393" y="78016"/>
                </a:lnTo>
                <a:lnTo>
                  <a:pt x="2032" y="78612"/>
                </a:lnTo>
                <a:lnTo>
                  <a:pt x="6197" y="78854"/>
                </a:lnTo>
                <a:lnTo>
                  <a:pt x="9702" y="78206"/>
                </a:lnTo>
                <a:lnTo>
                  <a:pt x="10299" y="77533"/>
                </a:lnTo>
                <a:lnTo>
                  <a:pt x="10388" y="76923"/>
                </a:lnTo>
                <a:lnTo>
                  <a:pt x="10388" y="42265"/>
                </a:lnTo>
                <a:lnTo>
                  <a:pt x="45948" y="42265"/>
                </a:lnTo>
                <a:lnTo>
                  <a:pt x="46024" y="77533"/>
                </a:lnTo>
                <a:lnTo>
                  <a:pt x="46355" y="78016"/>
                </a:lnTo>
                <a:lnTo>
                  <a:pt x="47955" y="78612"/>
                </a:lnTo>
                <a:lnTo>
                  <a:pt x="50088" y="78854"/>
                </a:lnTo>
                <a:lnTo>
                  <a:pt x="54254" y="78612"/>
                </a:lnTo>
                <a:lnTo>
                  <a:pt x="55587" y="78206"/>
                </a:lnTo>
                <a:lnTo>
                  <a:pt x="56197" y="77533"/>
                </a:lnTo>
                <a:lnTo>
                  <a:pt x="56273" y="1930"/>
                </a:lnTo>
                <a:lnTo>
                  <a:pt x="56197" y="1333"/>
                </a:lnTo>
                <a:lnTo>
                  <a:pt x="55867" y="850"/>
                </a:lnTo>
                <a:lnTo>
                  <a:pt x="54254" y="253"/>
                </a:lnTo>
                <a:lnTo>
                  <a:pt x="50088" y="0"/>
                </a:lnTo>
                <a:close/>
              </a:path>
            </a:pathLst>
          </a:custGeom>
          <a:solidFill>
            <a:srgbClr val="000000"/>
          </a:solidFill>
        </xdr:spPr>
      </xdr:sp>
      <xdr:sp macro="" textlink="">
        <xdr:nvSpPr>
          <xdr:cNvPr id="10" name="Shape 23">
            <a:extLst>
              <a:ext uri="{FF2B5EF4-FFF2-40B4-BE49-F238E27FC236}">
                <a16:creationId xmlns:a16="http://schemas.microsoft.com/office/drawing/2014/main" id="{047559B0-1833-D2C0-3275-8B766F5D1887}"/>
              </a:ext>
            </a:extLst>
          </xdr:cNvPr>
          <xdr:cNvSpPr/>
        </xdr:nvSpPr>
        <xdr:spPr>
          <a:xfrm>
            <a:off x="1811921" y="1108227"/>
            <a:ext cx="0" cy="927100"/>
          </a:xfrm>
          <a:custGeom>
            <a:avLst/>
            <a:gdLst/>
            <a:ahLst/>
            <a:cxnLst/>
            <a:rect l="0" t="0" r="0" b="0"/>
            <a:pathLst>
              <a:path h="927100">
                <a:moveTo>
                  <a:pt x="0" y="0"/>
                </a:moveTo>
                <a:lnTo>
                  <a:pt x="0" y="926655"/>
                </a:lnTo>
              </a:path>
            </a:pathLst>
          </a:custGeom>
          <a:ln w="6350">
            <a:solidFill>
              <a:srgbClr val="000000"/>
            </a:solidFill>
          </a:ln>
        </xdr:spPr>
      </xdr:sp>
      <xdr:sp macro="" textlink="">
        <xdr:nvSpPr>
          <xdr:cNvPr id="11" name="Shape 24">
            <a:extLst>
              <a:ext uri="{FF2B5EF4-FFF2-40B4-BE49-F238E27FC236}">
                <a16:creationId xmlns:a16="http://schemas.microsoft.com/office/drawing/2014/main" id="{2BCF0779-6A7E-2322-9C06-A977BBBCA2DC}"/>
              </a:ext>
            </a:extLst>
          </xdr:cNvPr>
          <xdr:cNvSpPr/>
        </xdr:nvSpPr>
        <xdr:spPr>
          <a:xfrm>
            <a:off x="1811921" y="1689"/>
            <a:ext cx="0" cy="975360"/>
          </a:xfrm>
          <a:custGeom>
            <a:avLst/>
            <a:gdLst/>
            <a:ahLst/>
            <a:cxnLst/>
            <a:rect l="0" t="0" r="0" b="0"/>
            <a:pathLst>
              <a:path h="975360">
                <a:moveTo>
                  <a:pt x="0" y="0"/>
                </a:moveTo>
                <a:lnTo>
                  <a:pt x="0" y="975271"/>
                </a:lnTo>
              </a:path>
            </a:pathLst>
          </a:custGeom>
          <a:ln w="6350">
            <a:solidFill>
              <a:srgbClr val="000000"/>
            </a:solidFill>
          </a:ln>
        </xdr:spPr>
      </xdr:sp>
      <xdr:sp macro="" textlink="">
        <xdr:nvSpPr>
          <xdr:cNvPr id="12" name="Shape 25">
            <a:extLst>
              <a:ext uri="{FF2B5EF4-FFF2-40B4-BE49-F238E27FC236}">
                <a16:creationId xmlns:a16="http://schemas.microsoft.com/office/drawing/2014/main" id="{4FBAE717-81C1-E38B-3573-042136E7625E}"/>
              </a:ext>
            </a:extLst>
          </xdr:cNvPr>
          <xdr:cNvSpPr/>
        </xdr:nvSpPr>
        <xdr:spPr>
          <a:xfrm>
            <a:off x="1707172" y="2004072"/>
            <a:ext cx="157480" cy="0"/>
          </a:xfrm>
          <a:custGeom>
            <a:avLst/>
            <a:gdLst/>
            <a:ahLst/>
            <a:cxnLst/>
            <a:rect l="0" t="0" r="0" b="0"/>
            <a:pathLst>
              <a:path w="157480">
                <a:moveTo>
                  <a:pt x="156870" y="0"/>
                </a:moveTo>
                <a:lnTo>
                  <a:pt x="0" y="0"/>
                </a:lnTo>
              </a:path>
            </a:pathLst>
          </a:custGeom>
          <a:ln w="6350">
            <a:solidFill>
              <a:srgbClr val="000000"/>
            </a:solidFill>
          </a:ln>
        </xdr:spPr>
      </xdr:sp>
      <xdr:sp macro="" textlink="">
        <xdr:nvSpPr>
          <xdr:cNvPr id="13" name="Shape 26">
            <a:extLst>
              <a:ext uri="{FF2B5EF4-FFF2-40B4-BE49-F238E27FC236}">
                <a16:creationId xmlns:a16="http://schemas.microsoft.com/office/drawing/2014/main" id="{8EF136BF-6734-B7C8-A14D-57185D7056DB}"/>
              </a:ext>
            </a:extLst>
          </xdr:cNvPr>
          <xdr:cNvSpPr/>
        </xdr:nvSpPr>
        <xdr:spPr>
          <a:xfrm>
            <a:off x="1773148" y="1968055"/>
            <a:ext cx="77470" cy="71755"/>
          </a:xfrm>
          <a:custGeom>
            <a:avLst/>
            <a:gdLst/>
            <a:ahLst/>
            <a:cxnLst/>
            <a:rect l="0" t="0" r="0" b="0"/>
            <a:pathLst>
              <a:path w="77470" h="71755">
                <a:moveTo>
                  <a:pt x="0" y="0"/>
                </a:moveTo>
                <a:lnTo>
                  <a:pt x="77254" y="71247"/>
                </a:lnTo>
              </a:path>
            </a:pathLst>
          </a:custGeom>
          <a:ln w="12700">
            <a:solidFill>
              <a:srgbClr val="000000"/>
            </a:solidFill>
          </a:ln>
        </xdr:spPr>
      </xdr:sp>
      <xdr:sp macro="" textlink="">
        <xdr:nvSpPr>
          <xdr:cNvPr id="14" name="Shape 27">
            <a:extLst>
              <a:ext uri="{FF2B5EF4-FFF2-40B4-BE49-F238E27FC236}">
                <a16:creationId xmlns:a16="http://schemas.microsoft.com/office/drawing/2014/main" id="{993198A4-BC63-C551-6C2B-AFBC44D34ED4}"/>
              </a:ext>
            </a:extLst>
          </xdr:cNvPr>
          <xdr:cNvSpPr/>
        </xdr:nvSpPr>
        <xdr:spPr>
          <a:xfrm>
            <a:off x="1635899" y="2022373"/>
            <a:ext cx="0" cy="0"/>
          </a:xfrm>
          <a:custGeom>
            <a:avLst/>
            <a:gdLst/>
            <a:ahLst/>
            <a:cxnLst/>
            <a:rect l="0" t="0" r="0" b="0"/>
            <a:pathLst>
              <a:path>
                <a:moveTo>
                  <a:pt x="0" y="0"/>
                </a:moveTo>
              </a:path>
            </a:pathLst>
          </a:custGeom>
          <a:solidFill>
            <a:srgbClr val="000000"/>
          </a:solidFill>
        </xdr:spPr>
      </xdr:sp>
      <xdr:sp macro="" textlink="">
        <xdr:nvSpPr>
          <xdr:cNvPr id="15" name="Shape 28">
            <a:extLst>
              <a:ext uri="{FF2B5EF4-FFF2-40B4-BE49-F238E27FC236}">
                <a16:creationId xmlns:a16="http://schemas.microsoft.com/office/drawing/2014/main" id="{673CD25A-37FE-79F8-BFD2-2C85C1EFFF92}"/>
              </a:ext>
            </a:extLst>
          </xdr:cNvPr>
          <xdr:cNvSpPr/>
        </xdr:nvSpPr>
        <xdr:spPr>
          <a:xfrm>
            <a:off x="1256639" y="43116"/>
            <a:ext cx="398780" cy="0"/>
          </a:xfrm>
          <a:custGeom>
            <a:avLst/>
            <a:gdLst/>
            <a:ahLst/>
            <a:cxnLst/>
            <a:rect l="0" t="0" r="0" b="0"/>
            <a:pathLst>
              <a:path w="398780">
                <a:moveTo>
                  <a:pt x="0" y="0"/>
                </a:moveTo>
                <a:lnTo>
                  <a:pt x="398741" y="0"/>
                </a:lnTo>
              </a:path>
            </a:pathLst>
          </a:custGeom>
          <a:ln w="12700">
            <a:solidFill>
              <a:srgbClr val="000000"/>
            </a:solidFill>
          </a:ln>
        </xdr:spPr>
      </xdr:sp>
      <xdr:sp macro="" textlink="">
        <xdr:nvSpPr>
          <xdr:cNvPr id="16" name="Shape 29">
            <a:extLst>
              <a:ext uri="{FF2B5EF4-FFF2-40B4-BE49-F238E27FC236}">
                <a16:creationId xmlns:a16="http://schemas.microsoft.com/office/drawing/2014/main" id="{FC8C5FAE-B662-29D9-D19A-1435FFEE5583}"/>
              </a:ext>
            </a:extLst>
          </xdr:cNvPr>
          <xdr:cNvSpPr/>
        </xdr:nvSpPr>
        <xdr:spPr>
          <a:xfrm>
            <a:off x="7302" y="783831"/>
            <a:ext cx="398780" cy="0"/>
          </a:xfrm>
          <a:custGeom>
            <a:avLst/>
            <a:gdLst/>
            <a:ahLst/>
            <a:cxnLst/>
            <a:rect l="0" t="0" r="0" b="0"/>
            <a:pathLst>
              <a:path w="398780">
                <a:moveTo>
                  <a:pt x="0" y="0"/>
                </a:moveTo>
                <a:lnTo>
                  <a:pt x="398729" y="0"/>
                </a:lnTo>
              </a:path>
            </a:pathLst>
          </a:custGeom>
          <a:ln w="12700">
            <a:solidFill>
              <a:srgbClr val="000000"/>
            </a:solidFill>
          </a:ln>
        </xdr:spPr>
      </xdr:sp>
      <xdr:sp macro="" textlink="">
        <xdr:nvSpPr>
          <xdr:cNvPr id="17" name="Shape 30">
            <a:extLst>
              <a:ext uri="{FF2B5EF4-FFF2-40B4-BE49-F238E27FC236}">
                <a16:creationId xmlns:a16="http://schemas.microsoft.com/office/drawing/2014/main" id="{D462C146-7E1E-B538-32F0-C7A9F4965E49}"/>
              </a:ext>
            </a:extLst>
          </xdr:cNvPr>
          <xdr:cNvSpPr/>
        </xdr:nvSpPr>
        <xdr:spPr>
          <a:xfrm>
            <a:off x="7302" y="2770390"/>
            <a:ext cx="398780" cy="0"/>
          </a:xfrm>
          <a:custGeom>
            <a:avLst/>
            <a:gdLst/>
            <a:ahLst/>
            <a:cxnLst/>
            <a:rect l="0" t="0" r="0" b="0"/>
            <a:pathLst>
              <a:path w="398780">
                <a:moveTo>
                  <a:pt x="0" y="0"/>
                </a:moveTo>
                <a:lnTo>
                  <a:pt x="398729" y="0"/>
                </a:lnTo>
              </a:path>
            </a:pathLst>
          </a:custGeom>
          <a:ln w="12700">
            <a:solidFill>
              <a:srgbClr val="000000"/>
            </a:solidFill>
          </a:ln>
        </xdr:spPr>
      </xdr:sp>
      <xdr:sp macro="" textlink="">
        <xdr:nvSpPr>
          <xdr:cNvPr id="18" name="Shape 31">
            <a:extLst>
              <a:ext uri="{FF2B5EF4-FFF2-40B4-BE49-F238E27FC236}">
                <a16:creationId xmlns:a16="http://schemas.microsoft.com/office/drawing/2014/main" id="{238C4DE7-3594-F6A8-ECB7-AF1F68811E44}"/>
              </a:ext>
            </a:extLst>
          </xdr:cNvPr>
          <xdr:cNvSpPr/>
        </xdr:nvSpPr>
        <xdr:spPr>
          <a:xfrm>
            <a:off x="1256639" y="1998065"/>
            <a:ext cx="398780" cy="0"/>
          </a:xfrm>
          <a:custGeom>
            <a:avLst/>
            <a:gdLst/>
            <a:ahLst/>
            <a:cxnLst/>
            <a:rect l="0" t="0" r="0" b="0"/>
            <a:pathLst>
              <a:path w="398780">
                <a:moveTo>
                  <a:pt x="0" y="0"/>
                </a:moveTo>
                <a:lnTo>
                  <a:pt x="398741" y="0"/>
                </a:lnTo>
              </a:path>
            </a:pathLst>
          </a:custGeom>
          <a:ln w="12700">
            <a:solidFill>
              <a:srgbClr val="000000"/>
            </a:solidFill>
          </a:ln>
        </xdr:spPr>
      </xdr:sp>
      <xdr:sp macro="" textlink="">
        <xdr:nvSpPr>
          <xdr:cNvPr id="19" name="Shape 32">
            <a:extLst>
              <a:ext uri="{FF2B5EF4-FFF2-40B4-BE49-F238E27FC236}">
                <a16:creationId xmlns:a16="http://schemas.microsoft.com/office/drawing/2014/main" id="{02DF39E4-F9E5-BE18-556E-351CB15DC477}"/>
              </a:ext>
            </a:extLst>
          </xdr:cNvPr>
          <xdr:cNvSpPr/>
        </xdr:nvSpPr>
        <xdr:spPr>
          <a:xfrm>
            <a:off x="633730" y="647103"/>
            <a:ext cx="0" cy="1737995"/>
          </a:xfrm>
          <a:custGeom>
            <a:avLst/>
            <a:gdLst/>
            <a:ahLst/>
            <a:cxnLst/>
            <a:rect l="0" t="0" r="0" b="0"/>
            <a:pathLst>
              <a:path h="1737995">
                <a:moveTo>
                  <a:pt x="0" y="1737626"/>
                </a:moveTo>
                <a:lnTo>
                  <a:pt x="0" y="0"/>
                </a:lnTo>
              </a:path>
            </a:pathLst>
          </a:custGeom>
          <a:ln w="9525">
            <a:solidFill>
              <a:srgbClr val="000000"/>
            </a:solidFill>
          </a:ln>
        </xdr:spPr>
      </xdr:sp>
      <xdr:sp macro="" textlink="">
        <xdr:nvSpPr>
          <xdr:cNvPr id="20" name="Shape 33">
            <a:extLst>
              <a:ext uri="{FF2B5EF4-FFF2-40B4-BE49-F238E27FC236}">
                <a16:creationId xmlns:a16="http://schemas.microsoft.com/office/drawing/2014/main" id="{701306FA-C9FF-14D0-6138-DD3D87617252}"/>
              </a:ext>
            </a:extLst>
          </xdr:cNvPr>
          <xdr:cNvSpPr/>
        </xdr:nvSpPr>
        <xdr:spPr>
          <a:xfrm>
            <a:off x="744283" y="348068"/>
            <a:ext cx="400685" cy="1859280"/>
          </a:xfrm>
          <a:custGeom>
            <a:avLst/>
            <a:gdLst/>
            <a:ahLst/>
            <a:cxnLst/>
            <a:rect l="0" t="0" r="0" b="0"/>
            <a:pathLst>
              <a:path w="400685" h="1859280">
                <a:moveTo>
                  <a:pt x="0" y="1859102"/>
                </a:moveTo>
                <a:lnTo>
                  <a:pt x="400138" y="1618945"/>
                </a:lnTo>
                <a:lnTo>
                  <a:pt x="397776" y="0"/>
                </a:lnTo>
              </a:path>
            </a:pathLst>
          </a:custGeom>
          <a:ln w="9524">
            <a:solidFill>
              <a:srgbClr val="000000"/>
            </a:solidFill>
          </a:ln>
        </xdr:spPr>
      </xdr:sp>
      <xdr:sp macro="" textlink="">
        <xdr:nvSpPr>
          <xdr:cNvPr id="21" name="Shape 34">
            <a:extLst>
              <a:ext uri="{FF2B5EF4-FFF2-40B4-BE49-F238E27FC236}">
                <a16:creationId xmlns:a16="http://schemas.microsoft.com/office/drawing/2014/main" id="{E84865CC-B2FC-F668-DB39-A14768CA3BE2}"/>
              </a:ext>
            </a:extLst>
          </xdr:cNvPr>
          <xdr:cNvSpPr/>
        </xdr:nvSpPr>
        <xdr:spPr>
          <a:xfrm>
            <a:off x="117919" y="2409228"/>
            <a:ext cx="288290" cy="171450"/>
          </a:xfrm>
          <a:custGeom>
            <a:avLst/>
            <a:gdLst/>
            <a:ahLst/>
            <a:cxnLst/>
            <a:rect l="0" t="0" r="0" b="0"/>
            <a:pathLst>
              <a:path w="288290" h="171450">
                <a:moveTo>
                  <a:pt x="0" y="171449"/>
                </a:moveTo>
                <a:lnTo>
                  <a:pt x="288150" y="0"/>
                </a:lnTo>
              </a:path>
            </a:pathLst>
          </a:custGeom>
          <a:ln w="9525">
            <a:solidFill>
              <a:srgbClr val="000000"/>
            </a:solidFill>
            <a:prstDash val="dash"/>
          </a:ln>
        </xdr:spPr>
      </xdr:sp>
      <xdr:sp macro="" textlink="">
        <xdr:nvSpPr>
          <xdr:cNvPr id="22" name="Shape 35">
            <a:extLst>
              <a:ext uri="{FF2B5EF4-FFF2-40B4-BE49-F238E27FC236}">
                <a16:creationId xmlns:a16="http://schemas.microsoft.com/office/drawing/2014/main" id="{5C4E9875-58DA-2566-9FB8-078C3F028D9F}"/>
              </a:ext>
            </a:extLst>
          </xdr:cNvPr>
          <xdr:cNvSpPr/>
        </xdr:nvSpPr>
        <xdr:spPr>
          <a:xfrm>
            <a:off x="1625600" y="2158403"/>
            <a:ext cx="77470" cy="71755"/>
          </a:xfrm>
          <a:custGeom>
            <a:avLst/>
            <a:gdLst/>
            <a:ahLst/>
            <a:cxnLst/>
            <a:rect l="0" t="0" r="0" b="0"/>
            <a:pathLst>
              <a:path w="77470" h="71755">
                <a:moveTo>
                  <a:pt x="77266" y="0"/>
                </a:moveTo>
                <a:lnTo>
                  <a:pt x="0" y="71246"/>
                </a:lnTo>
              </a:path>
            </a:pathLst>
          </a:custGeom>
          <a:ln w="12700">
            <a:solidFill>
              <a:srgbClr val="000000"/>
            </a:solidFill>
          </a:ln>
        </xdr:spPr>
      </xdr:sp>
      <xdr:sp macro="" textlink="">
        <xdr:nvSpPr>
          <xdr:cNvPr id="23" name="Shape 36">
            <a:extLst>
              <a:ext uri="{FF2B5EF4-FFF2-40B4-BE49-F238E27FC236}">
                <a16:creationId xmlns:a16="http://schemas.microsoft.com/office/drawing/2014/main" id="{4A613D12-C7EB-DE04-78A9-B96AFD2EDC54}"/>
              </a:ext>
            </a:extLst>
          </xdr:cNvPr>
          <xdr:cNvSpPr/>
        </xdr:nvSpPr>
        <xdr:spPr>
          <a:xfrm>
            <a:off x="412432" y="2868663"/>
            <a:ext cx="0" cy="143510"/>
          </a:xfrm>
          <a:custGeom>
            <a:avLst/>
            <a:gdLst/>
            <a:ahLst/>
            <a:cxnLst/>
            <a:rect l="0" t="0" r="0" b="0"/>
            <a:pathLst>
              <a:path h="143510">
                <a:moveTo>
                  <a:pt x="0" y="0"/>
                </a:moveTo>
                <a:lnTo>
                  <a:pt x="0" y="143179"/>
                </a:lnTo>
              </a:path>
            </a:pathLst>
          </a:custGeom>
          <a:ln w="6350">
            <a:solidFill>
              <a:srgbClr val="000000"/>
            </a:solidFill>
          </a:ln>
        </xdr:spPr>
      </xdr:sp>
      <xdr:sp macro="" textlink="">
        <xdr:nvSpPr>
          <xdr:cNvPr id="24" name="Shape 37">
            <a:extLst>
              <a:ext uri="{FF2B5EF4-FFF2-40B4-BE49-F238E27FC236}">
                <a16:creationId xmlns:a16="http://schemas.microsoft.com/office/drawing/2014/main" id="{531BE865-ADE5-05E1-5F34-BD0106A7E507}"/>
              </a:ext>
            </a:extLst>
          </xdr:cNvPr>
          <xdr:cNvSpPr/>
        </xdr:nvSpPr>
        <xdr:spPr>
          <a:xfrm>
            <a:off x="270484" y="2961982"/>
            <a:ext cx="157480" cy="0"/>
          </a:xfrm>
          <a:custGeom>
            <a:avLst/>
            <a:gdLst/>
            <a:ahLst/>
            <a:cxnLst/>
            <a:rect l="0" t="0" r="0" b="0"/>
            <a:pathLst>
              <a:path w="157480">
                <a:moveTo>
                  <a:pt x="0" y="0"/>
                </a:moveTo>
                <a:lnTo>
                  <a:pt x="156883" y="0"/>
                </a:lnTo>
              </a:path>
            </a:pathLst>
          </a:custGeom>
          <a:ln w="6350">
            <a:solidFill>
              <a:srgbClr val="000000"/>
            </a:solidFill>
          </a:ln>
        </xdr:spPr>
      </xdr:sp>
      <xdr:sp macro="" textlink="">
        <xdr:nvSpPr>
          <xdr:cNvPr id="25" name="Shape 38">
            <a:extLst>
              <a:ext uri="{FF2B5EF4-FFF2-40B4-BE49-F238E27FC236}">
                <a16:creationId xmlns:a16="http://schemas.microsoft.com/office/drawing/2014/main" id="{AD47E931-D4AA-4592-C2EE-78518B354B29}"/>
              </a:ext>
            </a:extLst>
          </xdr:cNvPr>
          <xdr:cNvSpPr/>
        </xdr:nvSpPr>
        <xdr:spPr>
          <a:xfrm>
            <a:off x="375589" y="2927946"/>
            <a:ext cx="77470" cy="71755"/>
          </a:xfrm>
          <a:custGeom>
            <a:avLst/>
            <a:gdLst/>
            <a:ahLst/>
            <a:cxnLst/>
            <a:rect l="0" t="0" r="0" b="0"/>
            <a:pathLst>
              <a:path w="77470" h="71755">
                <a:moveTo>
                  <a:pt x="77254" y="0"/>
                </a:moveTo>
                <a:lnTo>
                  <a:pt x="0" y="71247"/>
                </a:lnTo>
              </a:path>
            </a:pathLst>
          </a:custGeom>
          <a:ln w="12700">
            <a:solidFill>
              <a:srgbClr val="000000"/>
            </a:solidFill>
          </a:ln>
        </xdr:spPr>
      </xdr:sp>
      <xdr:sp macro="" textlink="">
        <xdr:nvSpPr>
          <xdr:cNvPr id="26" name="Shape 39">
            <a:extLst>
              <a:ext uri="{FF2B5EF4-FFF2-40B4-BE49-F238E27FC236}">
                <a16:creationId xmlns:a16="http://schemas.microsoft.com/office/drawing/2014/main" id="{3E253D54-AC9D-21D3-9F7B-D99AA499EF51}"/>
              </a:ext>
            </a:extLst>
          </xdr:cNvPr>
          <xdr:cNvSpPr/>
        </xdr:nvSpPr>
        <xdr:spPr>
          <a:xfrm>
            <a:off x="406031" y="2954832"/>
            <a:ext cx="0" cy="0"/>
          </a:xfrm>
          <a:custGeom>
            <a:avLst/>
            <a:gdLst/>
            <a:ahLst/>
            <a:cxnLst/>
            <a:rect l="0" t="0" r="0" b="0"/>
            <a:pathLst>
              <a:path>
                <a:moveTo>
                  <a:pt x="0" y="0"/>
                </a:moveTo>
              </a:path>
            </a:pathLst>
          </a:custGeom>
          <a:solidFill>
            <a:srgbClr val="000000"/>
          </a:solidFill>
        </xdr:spPr>
      </xdr:sp>
      <xdr:sp macro="" textlink="">
        <xdr:nvSpPr>
          <xdr:cNvPr id="27" name="Shape 40">
            <a:extLst>
              <a:ext uri="{FF2B5EF4-FFF2-40B4-BE49-F238E27FC236}">
                <a16:creationId xmlns:a16="http://schemas.microsoft.com/office/drawing/2014/main" id="{C99D7D14-92D4-9423-C717-5E1C63546408}"/>
              </a:ext>
            </a:extLst>
          </xdr:cNvPr>
          <xdr:cNvSpPr/>
        </xdr:nvSpPr>
        <xdr:spPr>
          <a:xfrm>
            <a:off x="419633" y="2610992"/>
            <a:ext cx="525145" cy="344170"/>
          </a:xfrm>
          <a:custGeom>
            <a:avLst/>
            <a:gdLst/>
            <a:ahLst/>
            <a:cxnLst/>
            <a:rect l="0" t="0" r="0" b="0"/>
            <a:pathLst>
              <a:path w="525145" h="344170">
                <a:moveTo>
                  <a:pt x="0" y="343598"/>
                </a:moveTo>
                <a:lnTo>
                  <a:pt x="525005" y="0"/>
                </a:lnTo>
              </a:path>
            </a:pathLst>
          </a:custGeom>
          <a:ln w="3175">
            <a:solidFill>
              <a:srgbClr val="000000"/>
            </a:solidFill>
          </a:ln>
        </xdr:spPr>
      </xdr:sp>
      <xdr:sp macro="" textlink="">
        <xdr:nvSpPr>
          <xdr:cNvPr id="28" name="Shape 41">
            <a:extLst>
              <a:ext uri="{FF2B5EF4-FFF2-40B4-BE49-F238E27FC236}">
                <a16:creationId xmlns:a16="http://schemas.microsoft.com/office/drawing/2014/main" id="{5835AAEE-135D-404C-CB6E-A67BCCD35DB2}"/>
              </a:ext>
            </a:extLst>
          </xdr:cNvPr>
          <xdr:cNvSpPr/>
        </xdr:nvSpPr>
        <xdr:spPr>
          <a:xfrm>
            <a:off x="1117091" y="2199182"/>
            <a:ext cx="544830" cy="317500"/>
          </a:xfrm>
          <a:custGeom>
            <a:avLst/>
            <a:gdLst/>
            <a:ahLst/>
            <a:cxnLst/>
            <a:rect l="0" t="0" r="0" b="0"/>
            <a:pathLst>
              <a:path w="544830" h="317500">
                <a:moveTo>
                  <a:pt x="0" y="317004"/>
                </a:moveTo>
                <a:lnTo>
                  <a:pt x="544791" y="0"/>
                </a:lnTo>
              </a:path>
            </a:pathLst>
          </a:custGeom>
          <a:ln w="3175">
            <a:solidFill>
              <a:srgbClr val="000000"/>
            </a:solidFill>
          </a:ln>
        </xdr:spPr>
      </xdr:sp>
      <xdr:sp macro="" textlink="">
        <xdr:nvSpPr>
          <xdr:cNvPr id="29" name="Shape 42">
            <a:extLst>
              <a:ext uri="{FF2B5EF4-FFF2-40B4-BE49-F238E27FC236}">
                <a16:creationId xmlns:a16="http://schemas.microsoft.com/office/drawing/2014/main" id="{DAF7AC1B-7A8F-DCB2-7AD9-8051CCAC9D99}"/>
              </a:ext>
            </a:extLst>
          </xdr:cNvPr>
          <xdr:cNvSpPr/>
        </xdr:nvSpPr>
        <xdr:spPr>
          <a:xfrm>
            <a:off x="1707172" y="42570"/>
            <a:ext cx="157480" cy="0"/>
          </a:xfrm>
          <a:custGeom>
            <a:avLst/>
            <a:gdLst/>
            <a:ahLst/>
            <a:cxnLst/>
            <a:rect l="0" t="0" r="0" b="0"/>
            <a:pathLst>
              <a:path w="157480">
                <a:moveTo>
                  <a:pt x="156870" y="0"/>
                </a:moveTo>
                <a:lnTo>
                  <a:pt x="0" y="0"/>
                </a:lnTo>
              </a:path>
            </a:pathLst>
          </a:custGeom>
          <a:ln w="6350">
            <a:solidFill>
              <a:srgbClr val="000000"/>
            </a:solidFill>
          </a:ln>
        </xdr:spPr>
      </xdr:sp>
      <xdr:sp macro="" textlink="">
        <xdr:nvSpPr>
          <xdr:cNvPr id="30" name="Shape 43">
            <a:extLst>
              <a:ext uri="{FF2B5EF4-FFF2-40B4-BE49-F238E27FC236}">
                <a16:creationId xmlns:a16="http://schemas.microsoft.com/office/drawing/2014/main" id="{0502B257-1DCC-3C3D-D4DB-D7B3BDC89D04}"/>
              </a:ext>
            </a:extLst>
          </xdr:cNvPr>
          <xdr:cNvSpPr/>
        </xdr:nvSpPr>
        <xdr:spPr>
          <a:xfrm>
            <a:off x="1773148" y="6350"/>
            <a:ext cx="77470" cy="71755"/>
          </a:xfrm>
          <a:custGeom>
            <a:avLst/>
            <a:gdLst/>
            <a:ahLst/>
            <a:cxnLst/>
            <a:rect l="0" t="0" r="0" b="0"/>
            <a:pathLst>
              <a:path w="77470" h="71755">
                <a:moveTo>
                  <a:pt x="0" y="0"/>
                </a:moveTo>
                <a:lnTo>
                  <a:pt x="77254" y="71247"/>
                </a:lnTo>
              </a:path>
            </a:pathLst>
          </a:custGeom>
          <a:ln w="12700">
            <a:solidFill>
              <a:srgbClr val="000000"/>
            </a:solidFill>
          </a:ln>
        </xdr:spPr>
      </xdr:sp>
      <xdr:sp macro="" textlink="">
        <xdr:nvSpPr>
          <xdr:cNvPr id="31" name="Shape 44">
            <a:extLst>
              <a:ext uri="{FF2B5EF4-FFF2-40B4-BE49-F238E27FC236}">
                <a16:creationId xmlns:a16="http://schemas.microsoft.com/office/drawing/2014/main" id="{488A96A1-1769-17DA-35FA-136F9174D7F3}"/>
              </a:ext>
            </a:extLst>
          </xdr:cNvPr>
          <xdr:cNvSpPr/>
        </xdr:nvSpPr>
        <xdr:spPr>
          <a:xfrm>
            <a:off x="407009" y="722909"/>
            <a:ext cx="111125" cy="1685289"/>
          </a:xfrm>
          <a:custGeom>
            <a:avLst/>
            <a:gdLst/>
            <a:ahLst/>
            <a:cxnLst/>
            <a:rect l="0" t="0" r="0" b="0"/>
            <a:pathLst>
              <a:path w="111125" h="1685289">
                <a:moveTo>
                  <a:pt x="0" y="1684782"/>
                </a:moveTo>
                <a:lnTo>
                  <a:pt x="111074" y="1617510"/>
                </a:lnTo>
                <a:lnTo>
                  <a:pt x="108724" y="0"/>
                </a:lnTo>
              </a:path>
            </a:pathLst>
          </a:custGeom>
          <a:ln w="9525">
            <a:solidFill>
              <a:srgbClr val="000000"/>
            </a:solidFill>
          </a:ln>
        </xdr:spPr>
      </xdr:sp>
      <xdr:sp macro="" textlink="">
        <xdr:nvSpPr>
          <xdr:cNvPr id="32" name="Shape 45">
            <a:extLst>
              <a:ext uri="{FF2B5EF4-FFF2-40B4-BE49-F238E27FC236}">
                <a16:creationId xmlns:a16="http://schemas.microsoft.com/office/drawing/2014/main" id="{C88BFF68-E975-8EF0-1DB7-226F61C39FA7}"/>
              </a:ext>
            </a:extLst>
          </xdr:cNvPr>
          <xdr:cNvSpPr/>
        </xdr:nvSpPr>
        <xdr:spPr>
          <a:xfrm>
            <a:off x="515543" y="610146"/>
            <a:ext cx="635" cy="80645"/>
          </a:xfrm>
          <a:custGeom>
            <a:avLst/>
            <a:gdLst/>
            <a:ahLst/>
            <a:cxnLst/>
            <a:rect l="0" t="0" r="0" b="0"/>
            <a:pathLst>
              <a:path w="635" h="80645">
                <a:moveTo>
                  <a:pt x="114" y="80022"/>
                </a:moveTo>
                <a:lnTo>
                  <a:pt x="0" y="0"/>
                </a:lnTo>
              </a:path>
            </a:pathLst>
          </a:custGeom>
          <a:ln w="9525">
            <a:solidFill>
              <a:srgbClr val="000000"/>
            </a:solidFill>
            <a:prstDash val="dash"/>
          </a:ln>
        </xdr:spPr>
      </xdr:sp>
      <xdr:sp macro="" textlink="">
        <xdr:nvSpPr>
          <xdr:cNvPr id="33" name="Shape 46">
            <a:extLst>
              <a:ext uri="{FF2B5EF4-FFF2-40B4-BE49-F238E27FC236}">
                <a16:creationId xmlns:a16="http://schemas.microsoft.com/office/drawing/2014/main" id="{3BE9CD4C-41DF-5BDB-6A1C-3F30FFB88D42}"/>
              </a:ext>
            </a:extLst>
          </xdr:cNvPr>
          <xdr:cNvSpPr/>
        </xdr:nvSpPr>
        <xdr:spPr>
          <a:xfrm>
            <a:off x="136753" y="607517"/>
            <a:ext cx="345440" cy="208915"/>
          </a:xfrm>
          <a:custGeom>
            <a:avLst/>
            <a:gdLst/>
            <a:ahLst/>
            <a:cxnLst/>
            <a:rect l="0" t="0" r="0" b="0"/>
            <a:pathLst>
              <a:path w="345440" h="208915">
                <a:moveTo>
                  <a:pt x="345338" y="0"/>
                </a:moveTo>
                <a:lnTo>
                  <a:pt x="0" y="208661"/>
                </a:lnTo>
              </a:path>
            </a:pathLst>
          </a:custGeom>
          <a:ln w="9524">
            <a:solidFill>
              <a:srgbClr val="000000"/>
            </a:solidFill>
            <a:prstDash val="dash"/>
          </a:ln>
        </xdr:spPr>
      </xdr:sp>
      <xdr:sp macro="" textlink="">
        <xdr:nvSpPr>
          <xdr:cNvPr id="34" name="Shape 47">
            <a:extLst>
              <a:ext uri="{FF2B5EF4-FFF2-40B4-BE49-F238E27FC236}">
                <a16:creationId xmlns:a16="http://schemas.microsoft.com/office/drawing/2014/main" id="{28F70B9A-55C0-4C72-E038-119AC9942F2D}"/>
              </a:ext>
            </a:extLst>
          </xdr:cNvPr>
          <xdr:cNvSpPr/>
        </xdr:nvSpPr>
        <xdr:spPr>
          <a:xfrm>
            <a:off x="114503" y="867270"/>
            <a:ext cx="1270" cy="1693545"/>
          </a:xfrm>
          <a:custGeom>
            <a:avLst/>
            <a:gdLst/>
            <a:ahLst/>
            <a:cxnLst/>
            <a:rect l="0" t="0" r="0" b="0"/>
            <a:pathLst>
              <a:path w="1270" h="1693545">
                <a:moveTo>
                  <a:pt x="0" y="0"/>
                </a:moveTo>
                <a:lnTo>
                  <a:pt x="1206" y="1693519"/>
                </a:lnTo>
              </a:path>
            </a:pathLst>
          </a:custGeom>
          <a:ln w="9525">
            <a:solidFill>
              <a:srgbClr val="000000"/>
            </a:solidFill>
            <a:prstDash val="dash"/>
          </a:ln>
        </xdr:spPr>
      </xdr:sp>
      <xdr:sp macro="" textlink="">
        <xdr:nvSpPr>
          <xdr:cNvPr id="35" name="Shape 48">
            <a:extLst>
              <a:ext uri="{FF2B5EF4-FFF2-40B4-BE49-F238E27FC236}">
                <a16:creationId xmlns:a16="http://schemas.microsoft.com/office/drawing/2014/main" id="{CE5EC89C-8EB7-21A4-5A7D-FE1058B471C1}"/>
              </a:ext>
            </a:extLst>
          </xdr:cNvPr>
          <xdr:cNvSpPr/>
        </xdr:nvSpPr>
        <xdr:spPr>
          <a:xfrm>
            <a:off x="515683" y="712990"/>
            <a:ext cx="635" cy="11430"/>
          </a:xfrm>
          <a:custGeom>
            <a:avLst/>
            <a:gdLst/>
            <a:ahLst/>
            <a:cxnLst/>
            <a:rect l="0" t="0" r="0" b="0"/>
            <a:pathLst>
              <a:path w="635" h="11430">
                <a:moveTo>
                  <a:pt x="-4762" y="5702"/>
                </a:moveTo>
                <a:lnTo>
                  <a:pt x="4787" y="5702"/>
                </a:lnTo>
              </a:path>
            </a:pathLst>
          </a:custGeom>
          <a:ln w="11404">
            <a:solidFill>
              <a:srgbClr val="000000"/>
            </a:solidFill>
          </a:ln>
        </xdr:spPr>
      </xdr:sp>
      <xdr:sp macro="" textlink="">
        <xdr:nvSpPr>
          <xdr:cNvPr id="36" name="Shape 49">
            <a:extLst>
              <a:ext uri="{FF2B5EF4-FFF2-40B4-BE49-F238E27FC236}">
                <a16:creationId xmlns:a16="http://schemas.microsoft.com/office/drawing/2014/main" id="{64AFE008-A3EC-CCB1-A51A-5C6FB4F1DEF8}"/>
              </a:ext>
            </a:extLst>
          </xdr:cNvPr>
          <xdr:cNvSpPr/>
        </xdr:nvSpPr>
        <xdr:spPr>
          <a:xfrm>
            <a:off x="504367" y="587324"/>
            <a:ext cx="11430" cy="11430"/>
          </a:xfrm>
          <a:custGeom>
            <a:avLst/>
            <a:gdLst/>
            <a:ahLst/>
            <a:cxnLst/>
            <a:rect l="0" t="0" r="0" b="0"/>
            <a:pathLst>
              <a:path w="11430" h="11430">
                <a:moveTo>
                  <a:pt x="11150" y="11417"/>
                </a:moveTo>
                <a:lnTo>
                  <a:pt x="11137" y="0"/>
                </a:lnTo>
                <a:lnTo>
                  <a:pt x="0" y="6756"/>
                </a:lnTo>
              </a:path>
            </a:pathLst>
          </a:custGeom>
          <a:ln w="9525">
            <a:solidFill>
              <a:srgbClr val="000000"/>
            </a:solidFill>
          </a:ln>
        </xdr:spPr>
      </xdr:sp>
      <xdr:sp macro="" textlink="">
        <xdr:nvSpPr>
          <xdr:cNvPr id="37" name="Shape 50">
            <a:extLst>
              <a:ext uri="{FF2B5EF4-FFF2-40B4-BE49-F238E27FC236}">
                <a16:creationId xmlns:a16="http://schemas.microsoft.com/office/drawing/2014/main" id="{2D649751-8D36-E58C-4764-84BEF78B55D0}"/>
              </a:ext>
            </a:extLst>
          </xdr:cNvPr>
          <xdr:cNvSpPr/>
        </xdr:nvSpPr>
        <xdr:spPr>
          <a:xfrm>
            <a:off x="114477" y="822871"/>
            <a:ext cx="11430" cy="19685"/>
          </a:xfrm>
          <a:custGeom>
            <a:avLst/>
            <a:gdLst/>
            <a:ahLst/>
            <a:cxnLst/>
            <a:rect l="0" t="0" r="0" b="0"/>
            <a:pathLst>
              <a:path w="11430" h="19685">
                <a:moveTo>
                  <a:pt x="11137" y="0"/>
                </a:moveTo>
                <a:lnTo>
                  <a:pt x="0" y="6756"/>
                </a:lnTo>
                <a:lnTo>
                  <a:pt x="12" y="19304"/>
                </a:lnTo>
              </a:path>
            </a:pathLst>
          </a:custGeom>
          <a:ln w="9525">
            <a:solidFill>
              <a:srgbClr val="000000"/>
            </a:solidFill>
          </a:ln>
        </xdr:spPr>
      </xdr:sp>
      <xdr:sp macro="" textlink="">
        <xdr:nvSpPr>
          <xdr:cNvPr id="38" name="Shape 51">
            <a:extLst>
              <a:ext uri="{FF2B5EF4-FFF2-40B4-BE49-F238E27FC236}">
                <a16:creationId xmlns:a16="http://schemas.microsoft.com/office/drawing/2014/main" id="{6085A225-A3D0-4337-C8B8-B41FCCD8931C}"/>
              </a:ext>
            </a:extLst>
          </xdr:cNvPr>
          <xdr:cNvSpPr/>
        </xdr:nvSpPr>
        <xdr:spPr>
          <a:xfrm>
            <a:off x="115722" y="2573337"/>
            <a:ext cx="635" cy="12700"/>
          </a:xfrm>
          <a:custGeom>
            <a:avLst/>
            <a:gdLst/>
            <a:ahLst/>
            <a:cxnLst/>
            <a:rect l="0" t="0" r="0" b="0"/>
            <a:pathLst>
              <a:path w="635" h="12700">
                <a:moveTo>
                  <a:pt x="-4762" y="6280"/>
                </a:moveTo>
                <a:lnTo>
                  <a:pt x="4775" y="6280"/>
                </a:lnTo>
              </a:path>
            </a:pathLst>
          </a:custGeom>
          <a:ln w="12560">
            <a:solidFill>
              <a:srgbClr val="000000"/>
            </a:solidFill>
          </a:ln>
        </xdr:spPr>
      </xdr:sp>
      <xdr:sp macro="" textlink="">
        <xdr:nvSpPr>
          <xdr:cNvPr id="39" name="Shape 52">
            <a:extLst>
              <a:ext uri="{FF2B5EF4-FFF2-40B4-BE49-F238E27FC236}">
                <a16:creationId xmlns:a16="http://schemas.microsoft.com/office/drawing/2014/main" id="{75DE4517-1EB8-D929-685F-841DB756AD5A}"/>
              </a:ext>
            </a:extLst>
          </xdr:cNvPr>
          <xdr:cNvSpPr/>
        </xdr:nvSpPr>
        <xdr:spPr>
          <a:xfrm>
            <a:off x="1141882" y="236347"/>
            <a:ext cx="635" cy="79375"/>
          </a:xfrm>
          <a:custGeom>
            <a:avLst/>
            <a:gdLst/>
            <a:ahLst/>
            <a:cxnLst/>
            <a:rect l="0" t="0" r="0" b="0"/>
            <a:pathLst>
              <a:path w="635" h="79375">
                <a:moveTo>
                  <a:pt x="114" y="78930"/>
                </a:moveTo>
                <a:lnTo>
                  <a:pt x="0" y="0"/>
                </a:lnTo>
              </a:path>
            </a:pathLst>
          </a:custGeom>
          <a:ln w="9525">
            <a:solidFill>
              <a:srgbClr val="000000"/>
            </a:solidFill>
            <a:prstDash val="dash"/>
          </a:ln>
        </xdr:spPr>
      </xdr:sp>
      <xdr:sp macro="" textlink="">
        <xdr:nvSpPr>
          <xdr:cNvPr id="40" name="Shape 53">
            <a:extLst>
              <a:ext uri="{FF2B5EF4-FFF2-40B4-BE49-F238E27FC236}">
                <a16:creationId xmlns:a16="http://schemas.microsoft.com/office/drawing/2014/main" id="{459BFE01-625C-2363-80F1-A1427EFD679E}"/>
              </a:ext>
            </a:extLst>
          </xdr:cNvPr>
          <xdr:cNvSpPr/>
        </xdr:nvSpPr>
        <xdr:spPr>
          <a:xfrm>
            <a:off x="763104" y="233959"/>
            <a:ext cx="345440" cy="208279"/>
          </a:xfrm>
          <a:custGeom>
            <a:avLst/>
            <a:gdLst/>
            <a:ahLst/>
            <a:cxnLst/>
            <a:rect l="0" t="0" r="0" b="0"/>
            <a:pathLst>
              <a:path w="345440" h="208279">
                <a:moveTo>
                  <a:pt x="345325" y="0"/>
                </a:moveTo>
                <a:lnTo>
                  <a:pt x="0" y="207911"/>
                </a:lnTo>
              </a:path>
            </a:pathLst>
          </a:custGeom>
          <a:ln w="9525">
            <a:solidFill>
              <a:srgbClr val="000000"/>
            </a:solidFill>
            <a:prstDash val="dash"/>
          </a:ln>
        </xdr:spPr>
      </xdr:sp>
      <xdr:sp macro="" textlink="">
        <xdr:nvSpPr>
          <xdr:cNvPr id="41" name="Shape 54">
            <a:extLst>
              <a:ext uri="{FF2B5EF4-FFF2-40B4-BE49-F238E27FC236}">
                <a16:creationId xmlns:a16="http://schemas.microsoft.com/office/drawing/2014/main" id="{67008FD7-97F8-EF43-8384-E20C143DE63C}"/>
              </a:ext>
            </a:extLst>
          </xdr:cNvPr>
          <xdr:cNvSpPr/>
        </xdr:nvSpPr>
        <xdr:spPr>
          <a:xfrm>
            <a:off x="740841" y="489356"/>
            <a:ext cx="635" cy="80010"/>
          </a:xfrm>
          <a:custGeom>
            <a:avLst/>
            <a:gdLst/>
            <a:ahLst/>
            <a:cxnLst/>
            <a:rect l="0" t="0" r="0" b="0"/>
            <a:pathLst>
              <a:path w="635" h="80010">
                <a:moveTo>
                  <a:pt x="0" y="0"/>
                </a:moveTo>
                <a:lnTo>
                  <a:pt x="63" y="79463"/>
                </a:lnTo>
              </a:path>
            </a:pathLst>
          </a:custGeom>
          <a:ln w="9525">
            <a:solidFill>
              <a:srgbClr val="000000"/>
            </a:solidFill>
            <a:prstDash val="dash"/>
          </a:ln>
        </xdr:spPr>
      </xdr:sp>
      <xdr:sp macro="" textlink="">
        <xdr:nvSpPr>
          <xdr:cNvPr id="42" name="Shape 55">
            <a:extLst>
              <a:ext uri="{FF2B5EF4-FFF2-40B4-BE49-F238E27FC236}">
                <a16:creationId xmlns:a16="http://schemas.microsoft.com/office/drawing/2014/main" id="{4AA25E46-44A6-0A91-8748-9DD685E6B3C4}"/>
              </a:ext>
            </a:extLst>
          </xdr:cNvPr>
          <xdr:cNvSpPr/>
        </xdr:nvSpPr>
        <xdr:spPr>
          <a:xfrm>
            <a:off x="1142034" y="337794"/>
            <a:ext cx="635" cy="11430"/>
          </a:xfrm>
          <a:custGeom>
            <a:avLst/>
            <a:gdLst/>
            <a:ahLst/>
            <a:cxnLst/>
            <a:rect l="0" t="0" r="0" b="0"/>
            <a:pathLst>
              <a:path w="635" h="11430">
                <a:moveTo>
                  <a:pt x="-4762" y="5632"/>
                </a:moveTo>
                <a:lnTo>
                  <a:pt x="4775" y="5632"/>
                </a:lnTo>
              </a:path>
            </a:pathLst>
          </a:custGeom>
          <a:ln w="11264">
            <a:solidFill>
              <a:srgbClr val="000000"/>
            </a:solidFill>
          </a:ln>
        </xdr:spPr>
      </xdr:sp>
      <xdr:sp macro="" textlink="">
        <xdr:nvSpPr>
          <xdr:cNvPr id="43" name="Shape 56">
            <a:extLst>
              <a:ext uri="{FF2B5EF4-FFF2-40B4-BE49-F238E27FC236}">
                <a16:creationId xmlns:a16="http://schemas.microsoft.com/office/drawing/2014/main" id="{650287B9-0E8F-1AC9-A84A-C8C211F6645D}"/>
              </a:ext>
            </a:extLst>
          </xdr:cNvPr>
          <xdr:cNvSpPr/>
        </xdr:nvSpPr>
        <xdr:spPr>
          <a:xfrm>
            <a:off x="1130706" y="213817"/>
            <a:ext cx="11430" cy="11430"/>
          </a:xfrm>
          <a:custGeom>
            <a:avLst/>
            <a:gdLst/>
            <a:ahLst/>
            <a:cxnLst/>
            <a:rect l="0" t="0" r="0" b="0"/>
            <a:pathLst>
              <a:path w="11430" h="11430">
                <a:moveTo>
                  <a:pt x="11163" y="11264"/>
                </a:moveTo>
                <a:lnTo>
                  <a:pt x="11150" y="0"/>
                </a:lnTo>
                <a:lnTo>
                  <a:pt x="0" y="6705"/>
                </a:lnTo>
              </a:path>
            </a:pathLst>
          </a:custGeom>
          <a:ln w="9525">
            <a:solidFill>
              <a:srgbClr val="000000"/>
            </a:solidFill>
          </a:ln>
        </xdr:spPr>
      </xdr:sp>
      <xdr:sp macro="" textlink="">
        <xdr:nvSpPr>
          <xdr:cNvPr id="44" name="Shape 57">
            <a:extLst>
              <a:ext uri="{FF2B5EF4-FFF2-40B4-BE49-F238E27FC236}">
                <a16:creationId xmlns:a16="http://schemas.microsoft.com/office/drawing/2014/main" id="{8B78FF36-1D80-F364-B293-1E93ACABF662}"/>
              </a:ext>
            </a:extLst>
          </xdr:cNvPr>
          <xdr:cNvSpPr/>
        </xdr:nvSpPr>
        <xdr:spPr>
          <a:xfrm>
            <a:off x="740816" y="448576"/>
            <a:ext cx="11430" cy="18415"/>
          </a:xfrm>
          <a:custGeom>
            <a:avLst/>
            <a:gdLst/>
            <a:ahLst/>
            <a:cxnLst/>
            <a:rect l="0" t="0" r="0" b="0"/>
            <a:pathLst>
              <a:path w="11430" h="18415">
                <a:moveTo>
                  <a:pt x="11137" y="0"/>
                </a:moveTo>
                <a:lnTo>
                  <a:pt x="0" y="6743"/>
                </a:lnTo>
                <a:lnTo>
                  <a:pt x="12" y="18046"/>
                </a:lnTo>
              </a:path>
            </a:pathLst>
          </a:custGeom>
          <a:ln w="9525">
            <a:solidFill>
              <a:srgbClr val="000000"/>
            </a:solidFill>
          </a:ln>
        </xdr:spPr>
      </xdr:sp>
      <xdr:sp macro="" textlink="">
        <xdr:nvSpPr>
          <xdr:cNvPr id="45" name="Shape 58">
            <a:extLst>
              <a:ext uri="{FF2B5EF4-FFF2-40B4-BE49-F238E27FC236}">
                <a16:creationId xmlns:a16="http://schemas.microsoft.com/office/drawing/2014/main" id="{FC33C534-B960-C41E-0E8B-61F3D3BB1D5B}"/>
              </a:ext>
            </a:extLst>
          </xdr:cNvPr>
          <xdr:cNvSpPr/>
        </xdr:nvSpPr>
        <xdr:spPr>
          <a:xfrm>
            <a:off x="740905" y="580136"/>
            <a:ext cx="635" cy="11430"/>
          </a:xfrm>
          <a:custGeom>
            <a:avLst/>
            <a:gdLst/>
            <a:ahLst/>
            <a:cxnLst/>
            <a:rect l="0" t="0" r="0" b="0"/>
            <a:pathLst>
              <a:path w="635" h="11430">
                <a:moveTo>
                  <a:pt x="-4762" y="5683"/>
                </a:moveTo>
                <a:lnTo>
                  <a:pt x="4775" y="5683"/>
                </a:lnTo>
              </a:path>
            </a:pathLst>
          </a:custGeom>
          <a:ln w="11366">
            <a:solidFill>
              <a:srgbClr val="000000"/>
            </a:solidFill>
          </a:ln>
        </xdr:spPr>
      </xdr:sp>
      <xdr:sp macro="" textlink="">
        <xdr:nvSpPr>
          <xdr:cNvPr id="46" name="Shape 59">
            <a:extLst>
              <a:ext uri="{FF2B5EF4-FFF2-40B4-BE49-F238E27FC236}">
                <a16:creationId xmlns:a16="http://schemas.microsoft.com/office/drawing/2014/main" id="{02646F20-F3CA-3CFB-FB36-033574B1A321}"/>
              </a:ext>
            </a:extLst>
          </xdr:cNvPr>
          <xdr:cNvSpPr/>
        </xdr:nvSpPr>
        <xdr:spPr>
          <a:xfrm>
            <a:off x="740244" y="591502"/>
            <a:ext cx="1270" cy="1621155"/>
          </a:xfrm>
          <a:custGeom>
            <a:avLst/>
            <a:gdLst/>
            <a:ahLst/>
            <a:cxnLst/>
            <a:rect l="0" t="0" r="0" b="0"/>
            <a:pathLst>
              <a:path w="1270" h="1621155">
                <a:moveTo>
                  <a:pt x="0" y="0"/>
                </a:moveTo>
                <a:lnTo>
                  <a:pt x="990" y="1620875"/>
                </a:lnTo>
              </a:path>
            </a:pathLst>
          </a:custGeom>
          <a:ln w="9524">
            <a:solidFill>
              <a:srgbClr val="000000"/>
            </a:solidFill>
          </a:ln>
        </xdr:spPr>
      </xdr:sp>
      <xdr:sp macro="" textlink="">
        <xdr:nvSpPr>
          <xdr:cNvPr id="47" name="Shape 60">
            <a:extLst>
              <a:ext uri="{FF2B5EF4-FFF2-40B4-BE49-F238E27FC236}">
                <a16:creationId xmlns:a16="http://schemas.microsoft.com/office/drawing/2014/main" id="{18D2C2F6-4B44-598C-F726-7EB674742142}"/>
              </a:ext>
            </a:extLst>
          </xdr:cNvPr>
          <xdr:cNvSpPr/>
        </xdr:nvSpPr>
        <xdr:spPr>
          <a:xfrm>
            <a:off x="633730" y="401294"/>
            <a:ext cx="0" cy="246379"/>
          </a:xfrm>
          <a:custGeom>
            <a:avLst/>
            <a:gdLst/>
            <a:ahLst/>
            <a:cxnLst/>
            <a:rect l="0" t="0" r="0" b="0"/>
            <a:pathLst>
              <a:path h="246379">
                <a:moveTo>
                  <a:pt x="0" y="245808"/>
                </a:moveTo>
                <a:lnTo>
                  <a:pt x="0" y="0"/>
                </a:lnTo>
              </a:path>
            </a:pathLst>
          </a:custGeom>
          <a:ln w="9525">
            <a:solidFill>
              <a:srgbClr val="000000"/>
            </a:solidFill>
            <a:prstDash val="dash"/>
          </a:ln>
        </xdr:spPr>
      </xdr:sp>
    </xdr:grpSp>
    <xdr:clientData/>
  </xdr:absoluteAnchor>
  <xdr:twoCellAnchor editAs="oneCell">
    <xdr:from>
      <xdr:col>34</xdr:col>
      <xdr:colOff>239263</xdr:colOff>
      <xdr:row>0</xdr:row>
      <xdr:rowOff>0</xdr:rowOff>
    </xdr:from>
    <xdr:to>
      <xdr:col>36</xdr:col>
      <xdr:colOff>716592</xdr:colOff>
      <xdr:row>19</xdr:row>
      <xdr:rowOff>141897</xdr:rowOff>
    </xdr:to>
    <xdr:pic>
      <xdr:nvPicPr>
        <xdr:cNvPr id="48" name="Imagen 47">
          <a:extLst>
            <a:ext uri="{FF2B5EF4-FFF2-40B4-BE49-F238E27FC236}">
              <a16:creationId xmlns:a16="http://schemas.microsoft.com/office/drawing/2014/main" id="{5BEA3BD4-4DCA-4F18-BA11-F51981D19DFB}"/>
            </a:ext>
          </a:extLst>
        </xdr:cNvPr>
        <xdr:cNvPicPr>
          <a:picLocks noChangeAspect="1"/>
        </xdr:cNvPicPr>
      </xdr:nvPicPr>
      <xdr:blipFill>
        <a:blip xmlns:r="http://schemas.openxmlformats.org/officeDocument/2006/relationships" r:embed="rId3"/>
        <a:stretch>
          <a:fillRect/>
        </a:stretch>
      </xdr:blipFill>
      <xdr:spPr>
        <a:xfrm>
          <a:off x="26601288" y="0"/>
          <a:ext cx="2001329" cy="3945547"/>
        </a:xfrm>
        <a:prstGeom prst="rect">
          <a:avLst/>
        </a:prstGeom>
      </xdr:spPr>
    </xdr:pic>
    <xdr:clientData/>
  </xdr:twoCellAnchor>
  <xdr:oneCellAnchor>
    <xdr:from>
      <xdr:col>57</xdr:col>
      <xdr:colOff>36407</xdr:colOff>
      <xdr:row>0</xdr:row>
      <xdr:rowOff>33228</xdr:rowOff>
    </xdr:from>
    <xdr:ext cx="1086485" cy="1171575"/>
    <xdr:grpSp>
      <xdr:nvGrpSpPr>
        <xdr:cNvPr id="49" name="Group 2">
          <a:extLst>
            <a:ext uri="{FF2B5EF4-FFF2-40B4-BE49-F238E27FC236}">
              <a16:creationId xmlns:a16="http://schemas.microsoft.com/office/drawing/2014/main" id="{2E4EDED9-2D73-466C-AD45-BB1A098EA2A4}"/>
            </a:ext>
          </a:extLst>
        </xdr:cNvPr>
        <xdr:cNvGrpSpPr/>
      </xdr:nvGrpSpPr>
      <xdr:grpSpPr>
        <a:xfrm>
          <a:off x="46994657" y="31323"/>
          <a:ext cx="1086485" cy="1171575"/>
          <a:chOff x="0" y="0"/>
          <a:chExt cx="1086485" cy="1171575"/>
        </a:xfrm>
      </xdr:grpSpPr>
      <xdr:sp macro="" textlink="">
        <xdr:nvSpPr>
          <xdr:cNvPr id="50" name="Shape 3">
            <a:extLst>
              <a:ext uri="{FF2B5EF4-FFF2-40B4-BE49-F238E27FC236}">
                <a16:creationId xmlns:a16="http://schemas.microsoft.com/office/drawing/2014/main" id="{A5BAF922-0D2A-E120-ED7F-EFBB656D24FA}"/>
              </a:ext>
            </a:extLst>
          </xdr:cNvPr>
          <xdr:cNvSpPr/>
        </xdr:nvSpPr>
        <xdr:spPr>
          <a:xfrm>
            <a:off x="1025258" y="795502"/>
            <a:ext cx="46990" cy="60960"/>
          </a:xfrm>
          <a:custGeom>
            <a:avLst/>
            <a:gdLst/>
            <a:ahLst/>
            <a:cxnLst/>
            <a:rect l="0" t="0" r="0" b="0"/>
            <a:pathLst>
              <a:path w="46990" h="60960">
                <a:moveTo>
                  <a:pt x="22072" y="0"/>
                </a:moveTo>
                <a:lnTo>
                  <a:pt x="2286" y="0"/>
                </a:lnTo>
                <a:lnTo>
                  <a:pt x="1600" y="241"/>
                </a:lnTo>
                <a:lnTo>
                  <a:pt x="317" y="1219"/>
                </a:lnTo>
                <a:lnTo>
                  <a:pt x="0" y="2070"/>
                </a:lnTo>
                <a:lnTo>
                  <a:pt x="0" y="58864"/>
                </a:lnTo>
                <a:lnTo>
                  <a:pt x="317" y="59715"/>
                </a:lnTo>
                <a:lnTo>
                  <a:pt x="1600" y="60693"/>
                </a:lnTo>
                <a:lnTo>
                  <a:pt x="2286" y="60934"/>
                </a:lnTo>
                <a:lnTo>
                  <a:pt x="21120" y="60934"/>
                </a:lnTo>
                <a:lnTo>
                  <a:pt x="25615" y="60286"/>
                </a:lnTo>
                <a:lnTo>
                  <a:pt x="33147" y="57721"/>
                </a:lnTo>
                <a:lnTo>
                  <a:pt x="36322" y="55778"/>
                </a:lnTo>
                <a:lnTo>
                  <a:pt x="37947" y="54152"/>
                </a:lnTo>
                <a:lnTo>
                  <a:pt x="8089" y="54152"/>
                </a:lnTo>
                <a:lnTo>
                  <a:pt x="8089" y="6730"/>
                </a:lnTo>
                <a:lnTo>
                  <a:pt x="38167" y="6730"/>
                </a:lnTo>
                <a:lnTo>
                  <a:pt x="36868" y="5384"/>
                </a:lnTo>
                <a:lnTo>
                  <a:pt x="33820" y="3416"/>
                </a:lnTo>
                <a:lnTo>
                  <a:pt x="26530" y="685"/>
                </a:lnTo>
                <a:lnTo>
                  <a:pt x="22072" y="0"/>
                </a:lnTo>
                <a:close/>
              </a:path>
              <a:path w="46990" h="60960">
                <a:moveTo>
                  <a:pt x="38167" y="6730"/>
                </a:moveTo>
                <a:lnTo>
                  <a:pt x="20535" y="6730"/>
                </a:lnTo>
                <a:lnTo>
                  <a:pt x="23977" y="7315"/>
                </a:lnTo>
                <a:lnTo>
                  <a:pt x="29311" y="9639"/>
                </a:lnTo>
                <a:lnTo>
                  <a:pt x="38226" y="34848"/>
                </a:lnTo>
                <a:lnTo>
                  <a:pt x="37871" y="37630"/>
                </a:lnTo>
                <a:lnTo>
                  <a:pt x="20320" y="54152"/>
                </a:lnTo>
                <a:lnTo>
                  <a:pt x="37947" y="54152"/>
                </a:lnTo>
                <a:lnTo>
                  <a:pt x="41503" y="50596"/>
                </a:lnTo>
                <a:lnTo>
                  <a:pt x="43472" y="47332"/>
                </a:lnTo>
                <a:lnTo>
                  <a:pt x="46164" y="39458"/>
                </a:lnTo>
                <a:lnTo>
                  <a:pt x="46850" y="34848"/>
                </a:lnTo>
                <a:lnTo>
                  <a:pt x="46850" y="24993"/>
                </a:lnTo>
                <a:lnTo>
                  <a:pt x="46215" y="20878"/>
                </a:lnTo>
                <a:lnTo>
                  <a:pt x="43662" y="13601"/>
                </a:lnTo>
                <a:lnTo>
                  <a:pt x="41795" y="10490"/>
                </a:lnTo>
                <a:lnTo>
                  <a:pt x="38167" y="6730"/>
                </a:lnTo>
                <a:close/>
              </a:path>
            </a:pathLst>
          </a:custGeom>
          <a:solidFill>
            <a:srgbClr val="000000"/>
          </a:solidFill>
        </xdr:spPr>
      </xdr:sp>
      <xdr:sp macro="" textlink="">
        <xdr:nvSpPr>
          <xdr:cNvPr id="51" name="Shape 4">
            <a:extLst>
              <a:ext uri="{FF2B5EF4-FFF2-40B4-BE49-F238E27FC236}">
                <a16:creationId xmlns:a16="http://schemas.microsoft.com/office/drawing/2014/main" id="{1D371D07-5085-DB20-DDFE-07C063260763}"/>
              </a:ext>
            </a:extLst>
          </xdr:cNvPr>
          <xdr:cNvSpPr/>
        </xdr:nvSpPr>
        <xdr:spPr>
          <a:xfrm>
            <a:off x="1049756" y="695286"/>
            <a:ext cx="0" cy="88900"/>
          </a:xfrm>
          <a:custGeom>
            <a:avLst/>
            <a:gdLst/>
            <a:ahLst/>
            <a:cxnLst/>
            <a:rect l="0" t="0" r="0" b="0"/>
            <a:pathLst>
              <a:path h="88900">
                <a:moveTo>
                  <a:pt x="0" y="88849"/>
                </a:moveTo>
                <a:lnTo>
                  <a:pt x="0" y="0"/>
                </a:lnTo>
              </a:path>
            </a:pathLst>
          </a:custGeom>
          <a:ln w="4635">
            <a:solidFill>
              <a:srgbClr val="000000"/>
            </a:solidFill>
          </a:ln>
        </xdr:spPr>
      </xdr:sp>
      <xdr:sp macro="" textlink="">
        <xdr:nvSpPr>
          <xdr:cNvPr id="52" name="Shape 5">
            <a:extLst>
              <a:ext uri="{FF2B5EF4-FFF2-40B4-BE49-F238E27FC236}">
                <a16:creationId xmlns:a16="http://schemas.microsoft.com/office/drawing/2014/main" id="{9410F043-FACD-F0DB-1F71-D773F0830EE9}"/>
              </a:ext>
            </a:extLst>
          </xdr:cNvPr>
          <xdr:cNvSpPr/>
        </xdr:nvSpPr>
        <xdr:spPr>
          <a:xfrm>
            <a:off x="938974" y="734021"/>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53" name="Shape 6">
            <a:extLst>
              <a:ext uri="{FF2B5EF4-FFF2-40B4-BE49-F238E27FC236}">
                <a16:creationId xmlns:a16="http://schemas.microsoft.com/office/drawing/2014/main" id="{6230A02E-BD11-D61B-B86B-7804BA9328DB}"/>
              </a:ext>
            </a:extLst>
          </xdr:cNvPr>
          <xdr:cNvSpPr/>
        </xdr:nvSpPr>
        <xdr:spPr>
          <a:xfrm>
            <a:off x="1020724" y="710361"/>
            <a:ext cx="60960" cy="56515"/>
          </a:xfrm>
          <a:custGeom>
            <a:avLst/>
            <a:gdLst/>
            <a:ahLst/>
            <a:cxnLst/>
            <a:rect l="0" t="0" r="0" b="0"/>
            <a:pathLst>
              <a:path w="60960" h="56515">
                <a:moveTo>
                  <a:pt x="60680" y="0"/>
                </a:moveTo>
                <a:lnTo>
                  <a:pt x="0" y="56057"/>
                </a:lnTo>
              </a:path>
            </a:pathLst>
          </a:custGeom>
          <a:ln w="9271">
            <a:solidFill>
              <a:srgbClr val="000000"/>
            </a:solidFill>
          </a:ln>
        </xdr:spPr>
      </xdr:sp>
      <xdr:sp macro="" textlink="">
        <xdr:nvSpPr>
          <xdr:cNvPr id="54" name="Shape 7">
            <a:extLst>
              <a:ext uri="{FF2B5EF4-FFF2-40B4-BE49-F238E27FC236}">
                <a16:creationId xmlns:a16="http://schemas.microsoft.com/office/drawing/2014/main" id="{D3FC9FE2-834E-A17E-DB23-BD677F2AE514}"/>
              </a:ext>
            </a:extLst>
          </xdr:cNvPr>
          <xdr:cNvSpPr/>
        </xdr:nvSpPr>
        <xdr:spPr>
          <a:xfrm>
            <a:off x="994219" y="1009535"/>
            <a:ext cx="31750" cy="61594"/>
          </a:xfrm>
          <a:custGeom>
            <a:avLst/>
            <a:gdLst/>
            <a:ahLst/>
            <a:cxnLst/>
            <a:rect l="0" t="0" r="0" b="0"/>
            <a:pathLst>
              <a:path w="31750" h="61594">
                <a:moveTo>
                  <a:pt x="3289" y="0"/>
                </a:moveTo>
                <a:lnTo>
                  <a:pt x="533" y="508"/>
                </a:lnTo>
                <a:lnTo>
                  <a:pt x="50" y="1028"/>
                </a:lnTo>
                <a:lnTo>
                  <a:pt x="0" y="59143"/>
                </a:lnTo>
                <a:lnTo>
                  <a:pt x="317" y="59994"/>
                </a:lnTo>
                <a:lnTo>
                  <a:pt x="1600" y="60972"/>
                </a:lnTo>
                <a:lnTo>
                  <a:pt x="2285" y="61214"/>
                </a:lnTo>
                <a:lnTo>
                  <a:pt x="30225" y="61214"/>
                </a:lnTo>
                <a:lnTo>
                  <a:pt x="30873" y="60858"/>
                </a:lnTo>
                <a:lnTo>
                  <a:pt x="31330" y="60045"/>
                </a:lnTo>
                <a:lnTo>
                  <a:pt x="31584" y="58305"/>
                </a:lnTo>
                <a:lnTo>
                  <a:pt x="31495" y="56083"/>
                </a:lnTo>
                <a:lnTo>
                  <a:pt x="31051" y="54749"/>
                </a:lnTo>
                <a:lnTo>
                  <a:pt x="30467" y="54267"/>
                </a:lnTo>
                <a:lnTo>
                  <a:pt x="29946" y="54190"/>
                </a:lnTo>
                <a:lnTo>
                  <a:pt x="8089" y="54190"/>
                </a:lnTo>
                <a:lnTo>
                  <a:pt x="8089" y="1257"/>
                </a:lnTo>
                <a:lnTo>
                  <a:pt x="7785" y="660"/>
                </a:lnTo>
                <a:lnTo>
                  <a:pt x="6515" y="190"/>
                </a:lnTo>
                <a:lnTo>
                  <a:pt x="3289" y="0"/>
                </a:lnTo>
                <a:close/>
              </a:path>
            </a:pathLst>
          </a:custGeom>
          <a:solidFill>
            <a:srgbClr val="000000"/>
          </a:solidFill>
        </xdr:spPr>
      </xdr:sp>
      <xdr:sp macro="" textlink="">
        <xdr:nvSpPr>
          <xdr:cNvPr id="55" name="Shape 8">
            <a:extLst>
              <a:ext uri="{FF2B5EF4-FFF2-40B4-BE49-F238E27FC236}">
                <a16:creationId xmlns:a16="http://schemas.microsoft.com/office/drawing/2014/main" id="{A82699D0-A7CA-BF40-A0BE-5E18254ADBCD}"/>
              </a:ext>
            </a:extLst>
          </xdr:cNvPr>
          <xdr:cNvSpPr/>
        </xdr:nvSpPr>
        <xdr:spPr>
          <a:xfrm>
            <a:off x="1047940" y="875957"/>
            <a:ext cx="0" cy="91440"/>
          </a:xfrm>
          <a:custGeom>
            <a:avLst/>
            <a:gdLst/>
            <a:ahLst/>
            <a:cxnLst/>
            <a:rect l="0" t="0" r="0" b="0"/>
            <a:pathLst>
              <a:path h="91440">
                <a:moveTo>
                  <a:pt x="0" y="0"/>
                </a:moveTo>
                <a:lnTo>
                  <a:pt x="0" y="91084"/>
                </a:lnTo>
              </a:path>
            </a:pathLst>
          </a:custGeom>
          <a:ln w="4635">
            <a:solidFill>
              <a:srgbClr val="000000"/>
            </a:solidFill>
          </a:ln>
        </xdr:spPr>
      </xdr:sp>
      <xdr:sp macro="" textlink="">
        <xdr:nvSpPr>
          <xdr:cNvPr id="56" name="Shape 9">
            <a:extLst>
              <a:ext uri="{FF2B5EF4-FFF2-40B4-BE49-F238E27FC236}">
                <a16:creationId xmlns:a16="http://schemas.microsoft.com/office/drawing/2014/main" id="{8397CF94-8A75-4A00-0627-C3ADDB5BD814}"/>
              </a:ext>
            </a:extLst>
          </xdr:cNvPr>
          <xdr:cNvSpPr/>
        </xdr:nvSpPr>
        <xdr:spPr>
          <a:xfrm>
            <a:off x="937158" y="928242"/>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57" name="Shape 10">
            <a:extLst>
              <a:ext uri="{FF2B5EF4-FFF2-40B4-BE49-F238E27FC236}">
                <a16:creationId xmlns:a16="http://schemas.microsoft.com/office/drawing/2014/main" id="{E58676E9-DE9D-B6EA-889E-5896CB74FE7B}"/>
              </a:ext>
            </a:extLst>
          </xdr:cNvPr>
          <xdr:cNvSpPr/>
        </xdr:nvSpPr>
        <xdr:spPr>
          <a:xfrm>
            <a:off x="1018908" y="901458"/>
            <a:ext cx="60960" cy="56515"/>
          </a:xfrm>
          <a:custGeom>
            <a:avLst/>
            <a:gdLst/>
            <a:ahLst/>
            <a:cxnLst/>
            <a:rect l="0" t="0" r="0" b="0"/>
            <a:pathLst>
              <a:path w="60960" h="56515">
                <a:moveTo>
                  <a:pt x="60680" y="0"/>
                </a:moveTo>
                <a:lnTo>
                  <a:pt x="0" y="56007"/>
                </a:lnTo>
              </a:path>
            </a:pathLst>
          </a:custGeom>
          <a:ln w="9271">
            <a:solidFill>
              <a:srgbClr val="000000"/>
            </a:solidFill>
          </a:ln>
        </xdr:spPr>
      </xdr:sp>
      <xdr:sp macro="" textlink="">
        <xdr:nvSpPr>
          <xdr:cNvPr id="58" name="Shape 11">
            <a:extLst>
              <a:ext uri="{FF2B5EF4-FFF2-40B4-BE49-F238E27FC236}">
                <a16:creationId xmlns:a16="http://schemas.microsoft.com/office/drawing/2014/main" id="{9F812437-4DFE-E952-0A3A-6F286538E001}"/>
              </a:ext>
            </a:extLst>
          </xdr:cNvPr>
          <xdr:cNvSpPr/>
        </xdr:nvSpPr>
        <xdr:spPr>
          <a:xfrm>
            <a:off x="946950" y="1064526"/>
            <a:ext cx="38100" cy="104775"/>
          </a:xfrm>
          <a:custGeom>
            <a:avLst/>
            <a:gdLst/>
            <a:ahLst/>
            <a:cxnLst/>
            <a:rect l="0" t="0" r="0" b="0"/>
            <a:pathLst>
              <a:path w="38100" h="104775">
                <a:moveTo>
                  <a:pt x="37592" y="0"/>
                </a:moveTo>
                <a:lnTo>
                  <a:pt x="0" y="104673"/>
                </a:lnTo>
              </a:path>
            </a:pathLst>
          </a:custGeom>
          <a:ln w="4635">
            <a:solidFill>
              <a:srgbClr val="000000"/>
            </a:solidFill>
          </a:ln>
        </xdr:spPr>
      </xdr:sp>
      <xdr:sp macro="" textlink="">
        <xdr:nvSpPr>
          <xdr:cNvPr id="59" name="Shape 12">
            <a:extLst>
              <a:ext uri="{FF2B5EF4-FFF2-40B4-BE49-F238E27FC236}">
                <a16:creationId xmlns:a16="http://schemas.microsoft.com/office/drawing/2014/main" id="{0FED7420-C5A0-3789-BB60-E35FEF1641AB}"/>
              </a:ext>
            </a:extLst>
          </xdr:cNvPr>
          <xdr:cNvSpPr/>
        </xdr:nvSpPr>
        <xdr:spPr>
          <a:xfrm>
            <a:off x="849109" y="1128217"/>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60" name="Shape 13">
            <a:extLst>
              <a:ext uri="{FF2B5EF4-FFF2-40B4-BE49-F238E27FC236}">
                <a16:creationId xmlns:a16="http://schemas.microsoft.com/office/drawing/2014/main" id="{D2F3C6A0-A8AF-D923-FFF3-0133C7D70A2F}"/>
              </a:ext>
            </a:extLst>
          </xdr:cNvPr>
          <xdr:cNvSpPr/>
        </xdr:nvSpPr>
        <xdr:spPr>
          <a:xfrm>
            <a:off x="930859" y="1101432"/>
            <a:ext cx="60960" cy="56515"/>
          </a:xfrm>
          <a:custGeom>
            <a:avLst/>
            <a:gdLst/>
            <a:ahLst/>
            <a:cxnLst/>
            <a:rect l="0" t="0" r="0" b="0"/>
            <a:pathLst>
              <a:path w="60960" h="56515">
                <a:moveTo>
                  <a:pt x="60680" y="0"/>
                </a:moveTo>
                <a:lnTo>
                  <a:pt x="0" y="56007"/>
                </a:lnTo>
              </a:path>
            </a:pathLst>
          </a:custGeom>
          <a:ln w="9271">
            <a:solidFill>
              <a:srgbClr val="000000"/>
            </a:solidFill>
          </a:ln>
        </xdr:spPr>
      </xdr:sp>
      <xdr:sp macro="" textlink="">
        <xdr:nvSpPr>
          <xdr:cNvPr id="61" name="Shape 14">
            <a:extLst>
              <a:ext uri="{FF2B5EF4-FFF2-40B4-BE49-F238E27FC236}">
                <a16:creationId xmlns:a16="http://schemas.microsoft.com/office/drawing/2014/main" id="{C7108144-EF25-2CA4-6732-F5D51B26C044}"/>
              </a:ext>
            </a:extLst>
          </xdr:cNvPr>
          <xdr:cNvSpPr/>
        </xdr:nvSpPr>
        <xdr:spPr>
          <a:xfrm>
            <a:off x="4635" y="197751"/>
            <a:ext cx="896619" cy="202565"/>
          </a:xfrm>
          <a:custGeom>
            <a:avLst/>
            <a:gdLst/>
            <a:ahLst/>
            <a:cxnLst/>
            <a:rect l="0" t="0" r="0" b="0"/>
            <a:pathLst>
              <a:path w="896619" h="202565">
                <a:moveTo>
                  <a:pt x="0" y="202107"/>
                </a:moveTo>
                <a:lnTo>
                  <a:pt x="814959" y="202107"/>
                </a:lnTo>
                <a:lnTo>
                  <a:pt x="896607" y="0"/>
                </a:lnTo>
                <a:lnTo>
                  <a:pt x="81648" y="0"/>
                </a:lnTo>
                <a:lnTo>
                  <a:pt x="0" y="202107"/>
                </a:lnTo>
                <a:close/>
              </a:path>
            </a:pathLst>
          </a:custGeom>
          <a:ln w="9271">
            <a:solidFill>
              <a:srgbClr val="000000"/>
            </a:solidFill>
          </a:ln>
        </xdr:spPr>
      </xdr:sp>
      <xdr:sp macro="" textlink="">
        <xdr:nvSpPr>
          <xdr:cNvPr id="62" name="Shape 15">
            <a:extLst>
              <a:ext uri="{FF2B5EF4-FFF2-40B4-BE49-F238E27FC236}">
                <a16:creationId xmlns:a16="http://schemas.microsoft.com/office/drawing/2014/main" id="{0557CA40-C6E6-3DBD-DB0B-BCB748888087}"/>
              </a:ext>
            </a:extLst>
          </xdr:cNvPr>
          <xdr:cNvSpPr/>
        </xdr:nvSpPr>
        <xdr:spPr>
          <a:xfrm>
            <a:off x="10325" y="374954"/>
            <a:ext cx="896619" cy="202565"/>
          </a:xfrm>
          <a:custGeom>
            <a:avLst/>
            <a:gdLst/>
            <a:ahLst/>
            <a:cxnLst/>
            <a:rect l="0" t="0" r="0" b="0"/>
            <a:pathLst>
              <a:path w="896619" h="202565">
                <a:moveTo>
                  <a:pt x="73164" y="20980"/>
                </a:moveTo>
                <a:lnTo>
                  <a:pt x="0" y="202107"/>
                </a:lnTo>
                <a:lnTo>
                  <a:pt x="814971" y="202107"/>
                </a:lnTo>
                <a:lnTo>
                  <a:pt x="896619" y="0"/>
                </a:lnTo>
                <a:lnTo>
                  <a:pt x="814844" y="0"/>
                </a:lnTo>
              </a:path>
            </a:pathLst>
          </a:custGeom>
          <a:ln w="9270">
            <a:solidFill>
              <a:srgbClr val="000000"/>
            </a:solidFill>
          </a:ln>
        </xdr:spPr>
      </xdr:sp>
      <xdr:sp macro="" textlink="">
        <xdr:nvSpPr>
          <xdr:cNvPr id="63" name="Shape 16">
            <a:extLst>
              <a:ext uri="{FF2B5EF4-FFF2-40B4-BE49-F238E27FC236}">
                <a16:creationId xmlns:a16="http://schemas.microsoft.com/office/drawing/2014/main" id="{22E2B3F7-CB31-626B-C4DE-968BAF3F01A6}"/>
              </a:ext>
            </a:extLst>
          </xdr:cNvPr>
          <xdr:cNvSpPr/>
        </xdr:nvSpPr>
        <xdr:spPr>
          <a:xfrm>
            <a:off x="10325" y="554837"/>
            <a:ext cx="896619" cy="202565"/>
          </a:xfrm>
          <a:custGeom>
            <a:avLst/>
            <a:gdLst/>
            <a:ahLst/>
            <a:cxnLst/>
            <a:rect l="0" t="0" r="0" b="0"/>
            <a:pathLst>
              <a:path w="896619" h="202565">
                <a:moveTo>
                  <a:pt x="73164" y="21031"/>
                </a:moveTo>
                <a:lnTo>
                  <a:pt x="0" y="202107"/>
                </a:lnTo>
                <a:lnTo>
                  <a:pt x="814971" y="202107"/>
                </a:lnTo>
                <a:lnTo>
                  <a:pt x="896619" y="0"/>
                </a:lnTo>
                <a:lnTo>
                  <a:pt x="814844" y="0"/>
                </a:lnTo>
              </a:path>
            </a:pathLst>
          </a:custGeom>
          <a:ln w="9271">
            <a:solidFill>
              <a:srgbClr val="000000"/>
            </a:solidFill>
          </a:ln>
        </xdr:spPr>
      </xdr:sp>
      <xdr:sp macro="" textlink="">
        <xdr:nvSpPr>
          <xdr:cNvPr id="64" name="Shape 17">
            <a:extLst>
              <a:ext uri="{FF2B5EF4-FFF2-40B4-BE49-F238E27FC236}">
                <a16:creationId xmlns:a16="http://schemas.microsoft.com/office/drawing/2014/main" id="{BD59CC34-8DA6-9312-4A80-6B9E8FB27AA0}"/>
              </a:ext>
            </a:extLst>
          </xdr:cNvPr>
          <xdr:cNvSpPr/>
        </xdr:nvSpPr>
        <xdr:spPr>
          <a:xfrm>
            <a:off x="10325" y="732929"/>
            <a:ext cx="896619" cy="202565"/>
          </a:xfrm>
          <a:custGeom>
            <a:avLst/>
            <a:gdLst/>
            <a:ahLst/>
            <a:cxnLst/>
            <a:rect l="0" t="0" r="0" b="0"/>
            <a:pathLst>
              <a:path w="896619" h="202565">
                <a:moveTo>
                  <a:pt x="73164" y="21043"/>
                </a:moveTo>
                <a:lnTo>
                  <a:pt x="0" y="202120"/>
                </a:lnTo>
                <a:lnTo>
                  <a:pt x="814971" y="202120"/>
                </a:lnTo>
                <a:lnTo>
                  <a:pt x="896619" y="0"/>
                </a:lnTo>
                <a:lnTo>
                  <a:pt x="814844" y="0"/>
                </a:lnTo>
              </a:path>
            </a:pathLst>
          </a:custGeom>
          <a:ln w="9271">
            <a:solidFill>
              <a:srgbClr val="000000"/>
            </a:solidFill>
          </a:ln>
        </xdr:spPr>
      </xdr:sp>
      <xdr:sp macro="" textlink="">
        <xdr:nvSpPr>
          <xdr:cNvPr id="65" name="Shape 18">
            <a:extLst>
              <a:ext uri="{FF2B5EF4-FFF2-40B4-BE49-F238E27FC236}">
                <a16:creationId xmlns:a16="http://schemas.microsoft.com/office/drawing/2014/main" id="{C233BB6B-BE3E-BB8B-BED7-90BD863A4012}"/>
              </a:ext>
            </a:extLst>
          </xdr:cNvPr>
          <xdr:cNvSpPr/>
        </xdr:nvSpPr>
        <xdr:spPr>
          <a:xfrm>
            <a:off x="10325" y="915797"/>
            <a:ext cx="896619" cy="202565"/>
          </a:xfrm>
          <a:custGeom>
            <a:avLst/>
            <a:gdLst/>
            <a:ahLst/>
            <a:cxnLst/>
            <a:rect l="0" t="0" r="0" b="0"/>
            <a:pathLst>
              <a:path w="896619" h="202565">
                <a:moveTo>
                  <a:pt x="73164" y="21031"/>
                </a:moveTo>
                <a:lnTo>
                  <a:pt x="0" y="202107"/>
                </a:lnTo>
                <a:lnTo>
                  <a:pt x="814971" y="202107"/>
                </a:lnTo>
                <a:lnTo>
                  <a:pt x="896619" y="0"/>
                </a:lnTo>
                <a:lnTo>
                  <a:pt x="814844" y="0"/>
                </a:lnTo>
              </a:path>
            </a:pathLst>
          </a:custGeom>
          <a:ln w="9271">
            <a:solidFill>
              <a:srgbClr val="000000"/>
            </a:solidFill>
          </a:ln>
        </xdr:spPr>
      </xdr:sp>
      <xdr:sp macro="" textlink="">
        <xdr:nvSpPr>
          <xdr:cNvPr id="66" name="Shape 19">
            <a:extLst>
              <a:ext uri="{FF2B5EF4-FFF2-40B4-BE49-F238E27FC236}">
                <a16:creationId xmlns:a16="http://schemas.microsoft.com/office/drawing/2014/main" id="{E2F3769E-1A4A-69E2-B89F-731BE3FDE322}"/>
              </a:ext>
            </a:extLst>
          </xdr:cNvPr>
          <xdr:cNvSpPr/>
        </xdr:nvSpPr>
        <xdr:spPr>
          <a:xfrm>
            <a:off x="117982" y="374954"/>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67" name="Shape 20">
            <a:extLst>
              <a:ext uri="{FF2B5EF4-FFF2-40B4-BE49-F238E27FC236}">
                <a16:creationId xmlns:a16="http://schemas.microsoft.com/office/drawing/2014/main" id="{98978835-E60D-D179-D6A7-0873DC188B9B}"/>
              </a:ext>
            </a:extLst>
          </xdr:cNvPr>
          <xdr:cNvSpPr/>
        </xdr:nvSpPr>
        <xdr:spPr>
          <a:xfrm>
            <a:off x="812825" y="374954"/>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68" name="Shape 21">
            <a:extLst>
              <a:ext uri="{FF2B5EF4-FFF2-40B4-BE49-F238E27FC236}">
                <a16:creationId xmlns:a16="http://schemas.microsoft.com/office/drawing/2014/main" id="{648A2DB2-E00E-2DFA-4024-6A5D68B670A9}"/>
              </a:ext>
            </a:extLst>
          </xdr:cNvPr>
          <xdr:cNvSpPr/>
        </xdr:nvSpPr>
        <xdr:spPr>
          <a:xfrm>
            <a:off x="83261" y="374954"/>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69" name="Shape 22">
            <a:extLst>
              <a:ext uri="{FF2B5EF4-FFF2-40B4-BE49-F238E27FC236}">
                <a16:creationId xmlns:a16="http://schemas.microsoft.com/office/drawing/2014/main" id="{F2FBF17A-9D99-99DA-E31B-23573BD9C298}"/>
              </a:ext>
            </a:extLst>
          </xdr:cNvPr>
          <xdr:cNvSpPr/>
        </xdr:nvSpPr>
        <xdr:spPr>
          <a:xfrm>
            <a:off x="117982" y="554837"/>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0" name="Shape 23">
            <a:extLst>
              <a:ext uri="{FF2B5EF4-FFF2-40B4-BE49-F238E27FC236}">
                <a16:creationId xmlns:a16="http://schemas.microsoft.com/office/drawing/2014/main" id="{87693C10-FF9E-368E-AE78-58F3FEC2FC38}"/>
              </a:ext>
            </a:extLst>
          </xdr:cNvPr>
          <xdr:cNvSpPr/>
        </xdr:nvSpPr>
        <xdr:spPr>
          <a:xfrm>
            <a:off x="812825" y="554837"/>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1" name="Shape 24">
            <a:extLst>
              <a:ext uri="{FF2B5EF4-FFF2-40B4-BE49-F238E27FC236}">
                <a16:creationId xmlns:a16="http://schemas.microsoft.com/office/drawing/2014/main" id="{FD7753EE-A0DC-6C5D-02A7-468AB4EFDBC4}"/>
              </a:ext>
            </a:extLst>
          </xdr:cNvPr>
          <xdr:cNvSpPr/>
        </xdr:nvSpPr>
        <xdr:spPr>
          <a:xfrm>
            <a:off x="83261" y="554837"/>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2" name="Shape 25">
            <a:extLst>
              <a:ext uri="{FF2B5EF4-FFF2-40B4-BE49-F238E27FC236}">
                <a16:creationId xmlns:a16="http://schemas.microsoft.com/office/drawing/2014/main" id="{89EB9799-F2E6-8CC9-8FE8-8A2A17558D5D}"/>
              </a:ext>
            </a:extLst>
          </xdr:cNvPr>
          <xdr:cNvSpPr/>
        </xdr:nvSpPr>
        <xdr:spPr>
          <a:xfrm>
            <a:off x="117982" y="732929"/>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3" name="Shape 26">
            <a:extLst>
              <a:ext uri="{FF2B5EF4-FFF2-40B4-BE49-F238E27FC236}">
                <a16:creationId xmlns:a16="http://schemas.microsoft.com/office/drawing/2014/main" id="{4B692F6F-4705-A83C-6D74-98F8831EB2B4}"/>
              </a:ext>
            </a:extLst>
          </xdr:cNvPr>
          <xdr:cNvSpPr/>
        </xdr:nvSpPr>
        <xdr:spPr>
          <a:xfrm>
            <a:off x="812825" y="732929"/>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4" name="Shape 27">
            <a:extLst>
              <a:ext uri="{FF2B5EF4-FFF2-40B4-BE49-F238E27FC236}">
                <a16:creationId xmlns:a16="http://schemas.microsoft.com/office/drawing/2014/main" id="{D2709FFE-50CF-03F4-3AA7-10CAAAD06A93}"/>
              </a:ext>
            </a:extLst>
          </xdr:cNvPr>
          <xdr:cNvSpPr/>
        </xdr:nvSpPr>
        <xdr:spPr>
          <a:xfrm>
            <a:off x="83261" y="732929"/>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5" name="Shape 28">
            <a:extLst>
              <a:ext uri="{FF2B5EF4-FFF2-40B4-BE49-F238E27FC236}">
                <a16:creationId xmlns:a16="http://schemas.microsoft.com/office/drawing/2014/main" id="{D0A4B7DA-7A87-B8DD-35F6-C5E838B0D9BC}"/>
              </a:ext>
            </a:extLst>
          </xdr:cNvPr>
          <xdr:cNvSpPr/>
        </xdr:nvSpPr>
        <xdr:spPr>
          <a:xfrm>
            <a:off x="117982" y="915797"/>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6" name="Shape 29">
            <a:extLst>
              <a:ext uri="{FF2B5EF4-FFF2-40B4-BE49-F238E27FC236}">
                <a16:creationId xmlns:a16="http://schemas.microsoft.com/office/drawing/2014/main" id="{A5FAC16A-3D86-A627-E162-1694A6E7855A}"/>
              </a:ext>
            </a:extLst>
          </xdr:cNvPr>
          <xdr:cNvSpPr/>
        </xdr:nvSpPr>
        <xdr:spPr>
          <a:xfrm>
            <a:off x="812825" y="915797"/>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7" name="Shape 30">
            <a:extLst>
              <a:ext uri="{FF2B5EF4-FFF2-40B4-BE49-F238E27FC236}">
                <a16:creationId xmlns:a16="http://schemas.microsoft.com/office/drawing/2014/main" id="{AFCAC695-7D35-8FD0-1AB5-28DC39FEC2D2}"/>
              </a:ext>
            </a:extLst>
          </xdr:cNvPr>
          <xdr:cNvSpPr/>
        </xdr:nvSpPr>
        <xdr:spPr>
          <a:xfrm>
            <a:off x="83261" y="915797"/>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8" name="Shape 31">
            <a:extLst>
              <a:ext uri="{FF2B5EF4-FFF2-40B4-BE49-F238E27FC236}">
                <a16:creationId xmlns:a16="http://schemas.microsoft.com/office/drawing/2014/main" id="{063B0C41-C0B9-C5D2-F8EB-CFAC386DBDCF}"/>
              </a:ext>
            </a:extLst>
          </xdr:cNvPr>
          <xdr:cNvSpPr/>
        </xdr:nvSpPr>
        <xdr:spPr>
          <a:xfrm>
            <a:off x="1012101" y="925969"/>
            <a:ext cx="41275" cy="103505"/>
          </a:xfrm>
          <a:custGeom>
            <a:avLst/>
            <a:gdLst/>
            <a:ahLst/>
            <a:cxnLst/>
            <a:rect l="0" t="0" r="0" b="0"/>
            <a:pathLst>
              <a:path w="41275" h="103505">
                <a:moveTo>
                  <a:pt x="41236" y="0"/>
                </a:moveTo>
                <a:lnTo>
                  <a:pt x="0" y="103327"/>
                </a:lnTo>
              </a:path>
            </a:pathLst>
          </a:custGeom>
          <a:ln w="4635">
            <a:solidFill>
              <a:srgbClr val="000000"/>
            </a:solidFill>
          </a:ln>
        </xdr:spPr>
      </xdr:sp>
      <xdr:sp macro="" textlink="">
        <xdr:nvSpPr>
          <xdr:cNvPr id="79" name="Shape 32">
            <a:extLst>
              <a:ext uri="{FF2B5EF4-FFF2-40B4-BE49-F238E27FC236}">
                <a16:creationId xmlns:a16="http://schemas.microsoft.com/office/drawing/2014/main" id="{EEC9277A-72E7-F7A5-368A-184897301B36}"/>
              </a:ext>
            </a:extLst>
          </xdr:cNvPr>
          <xdr:cNvSpPr/>
        </xdr:nvSpPr>
        <xdr:spPr>
          <a:xfrm>
            <a:off x="992022" y="0"/>
            <a:ext cx="43180" cy="88265"/>
          </a:xfrm>
          <a:custGeom>
            <a:avLst/>
            <a:gdLst/>
            <a:ahLst/>
            <a:cxnLst/>
            <a:rect l="0" t="0" r="0" b="0"/>
            <a:pathLst>
              <a:path w="43180" h="88265">
                <a:moveTo>
                  <a:pt x="25857" y="0"/>
                </a:moveTo>
                <a:lnTo>
                  <a:pt x="16192" y="0"/>
                </a:lnTo>
                <a:lnTo>
                  <a:pt x="12712" y="914"/>
                </a:lnTo>
                <a:lnTo>
                  <a:pt x="6908" y="4559"/>
                </a:lnTo>
                <a:lnTo>
                  <a:pt x="4902" y="6819"/>
                </a:lnTo>
                <a:lnTo>
                  <a:pt x="2667" y="12255"/>
                </a:lnTo>
                <a:lnTo>
                  <a:pt x="2120" y="16421"/>
                </a:lnTo>
                <a:lnTo>
                  <a:pt x="2120" y="72199"/>
                </a:lnTo>
                <a:lnTo>
                  <a:pt x="1905" y="75425"/>
                </a:lnTo>
                <a:lnTo>
                  <a:pt x="1498" y="79819"/>
                </a:lnTo>
                <a:lnTo>
                  <a:pt x="1346" y="81229"/>
                </a:lnTo>
                <a:lnTo>
                  <a:pt x="838" y="83883"/>
                </a:lnTo>
                <a:lnTo>
                  <a:pt x="0" y="87769"/>
                </a:lnTo>
                <a:lnTo>
                  <a:pt x="7950" y="87769"/>
                </a:lnTo>
                <a:lnTo>
                  <a:pt x="9207" y="81838"/>
                </a:lnTo>
                <a:lnTo>
                  <a:pt x="9842" y="76327"/>
                </a:lnTo>
                <a:lnTo>
                  <a:pt x="9842" y="63284"/>
                </a:lnTo>
                <a:lnTo>
                  <a:pt x="15652" y="63284"/>
                </a:lnTo>
                <a:lnTo>
                  <a:pt x="12823" y="61658"/>
                </a:lnTo>
                <a:lnTo>
                  <a:pt x="9842" y="59563"/>
                </a:lnTo>
                <a:lnTo>
                  <a:pt x="9842" y="13042"/>
                </a:lnTo>
                <a:lnTo>
                  <a:pt x="10502" y="9766"/>
                </a:lnTo>
                <a:lnTo>
                  <a:pt x="11935" y="7531"/>
                </a:lnTo>
                <a:lnTo>
                  <a:pt x="13817" y="4648"/>
                </a:lnTo>
                <a:lnTo>
                  <a:pt x="16649" y="3111"/>
                </a:lnTo>
                <a:lnTo>
                  <a:pt x="32138" y="3111"/>
                </a:lnTo>
                <a:lnTo>
                  <a:pt x="30353" y="1511"/>
                </a:lnTo>
                <a:lnTo>
                  <a:pt x="25857" y="0"/>
                </a:lnTo>
                <a:close/>
              </a:path>
              <a:path w="43180" h="88265">
                <a:moveTo>
                  <a:pt x="15652" y="63284"/>
                </a:moveTo>
                <a:lnTo>
                  <a:pt x="9842" y="63284"/>
                </a:lnTo>
                <a:lnTo>
                  <a:pt x="12788" y="65265"/>
                </a:lnTo>
                <a:lnTo>
                  <a:pt x="15290" y="66611"/>
                </a:lnTo>
                <a:lnTo>
                  <a:pt x="19405" y="68059"/>
                </a:lnTo>
                <a:lnTo>
                  <a:pt x="21488" y="68414"/>
                </a:lnTo>
                <a:lnTo>
                  <a:pt x="26847" y="68414"/>
                </a:lnTo>
                <a:lnTo>
                  <a:pt x="30022" y="67564"/>
                </a:lnTo>
                <a:lnTo>
                  <a:pt x="34250" y="65214"/>
                </a:lnTo>
                <a:lnTo>
                  <a:pt x="21183" y="65214"/>
                </a:lnTo>
                <a:lnTo>
                  <a:pt x="19494" y="64871"/>
                </a:lnTo>
                <a:lnTo>
                  <a:pt x="17702" y="64147"/>
                </a:lnTo>
                <a:lnTo>
                  <a:pt x="15652" y="63284"/>
                </a:lnTo>
                <a:close/>
              </a:path>
              <a:path w="43180" h="88265">
                <a:moveTo>
                  <a:pt x="33509" y="30607"/>
                </a:moveTo>
                <a:lnTo>
                  <a:pt x="27165" y="30607"/>
                </a:lnTo>
                <a:lnTo>
                  <a:pt x="29743" y="33807"/>
                </a:lnTo>
                <a:lnTo>
                  <a:pt x="31534" y="36753"/>
                </a:lnTo>
                <a:lnTo>
                  <a:pt x="33578" y="42125"/>
                </a:lnTo>
                <a:lnTo>
                  <a:pt x="34086" y="45250"/>
                </a:lnTo>
                <a:lnTo>
                  <a:pt x="34086" y="54508"/>
                </a:lnTo>
                <a:lnTo>
                  <a:pt x="33007" y="58661"/>
                </a:lnTo>
                <a:lnTo>
                  <a:pt x="28714" y="63906"/>
                </a:lnTo>
                <a:lnTo>
                  <a:pt x="26047" y="65214"/>
                </a:lnTo>
                <a:lnTo>
                  <a:pt x="34250" y="65214"/>
                </a:lnTo>
                <a:lnTo>
                  <a:pt x="36169" y="64147"/>
                </a:lnTo>
                <a:lnTo>
                  <a:pt x="38595" y="61658"/>
                </a:lnTo>
                <a:lnTo>
                  <a:pt x="42113" y="55130"/>
                </a:lnTo>
                <a:lnTo>
                  <a:pt x="42989" y="51612"/>
                </a:lnTo>
                <a:lnTo>
                  <a:pt x="42989" y="39370"/>
                </a:lnTo>
                <a:lnTo>
                  <a:pt x="38785" y="33121"/>
                </a:lnTo>
                <a:lnTo>
                  <a:pt x="33509" y="30607"/>
                </a:lnTo>
                <a:close/>
              </a:path>
              <a:path w="43180" h="88265">
                <a:moveTo>
                  <a:pt x="21729" y="26695"/>
                </a:moveTo>
                <a:lnTo>
                  <a:pt x="18872" y="26695"/>
                </a:lnTo>
                <a:lnTo>
                  <a:pt x="17919" y="26936"/>
                </a:lnTo>
                <a:lnTo>
                  <a:pt x="16725" y="27876"/>
                </a:lnTo>
                <a:lnTo>
                  <a:pt x="16433" y="28409"/>
                </a:lnTo>
                <a:lnTo>
                  <a:pt x="16433" y="29667"/>
                </a:lnTo>
                <a:lnTo>
                  <a:pt x="16814" y="30276"/>
                </a:lnTo>
                <a:lnTo>
                  <a:pt x="18351" y="31407"/>
                </a:lnTo>
                <a:lnTo>
                  <a:pt x="19685" y="31686"/>
                </a:lnTo>
                <a:lnTo>
                  <a:pt x="23126" y="31686"/>
                </a:lnTo>
                <a:lnTo>
                  <a:pt x="24993" y="31330"/>
                </a:lnTo>
                <a:lnTo>
                  <a:pt x="27165" y="30607"/>
                </a:lnTo>
                <a:lnTo>
                  <a:pt x="33509" y="30607"/>
                </a:lnTo>
                <a:lnTo>
                  <a:pt x="30365" y="29108"/>
                </a:lnTo>
                <a:lnTo>
                  <a:pt x="32277" y="27927"/>
                </a:lnTo>
                <a:lnTo>
                  <a:pt x="27165" y="27927"/>
                </a:lnTo>
                <a:lnTo>
                  <a:pt x="24053" y="27114"/>
                </a:lnTo>
                <a:lnTo>
                  <a:pt x="21729" y="26695"/>
                </a:lnTo>
                <a:close/>
              </a:path>
              <a:path w="43180" h="88265">
                <a:moveTo>
                  <a:pt x="32138" y="3111"/>
                </a:moveTo>
                <a:lnTo>
                  <a:pt x="23177" y="3111"/>
                </a:lnTo>
                <a:lnTo>
                  <a:pt x="25590" y="4191"/>
                </a:lnTo>
                <a:lnTo>
                  <a:pt x="29489" y="8521"/>
                </a:lnTo>
                <a:lnTo>
                  <a:pt x="30467" y="11582"/>
                </a:lnTo>
                <a:lnTo>
                  <a:pt x="30467" y="19431"/>
                </a:lnTo>
                <a:lnTo>
                  <a:pt x="29362" y="23558"/>
                </a:lnTo>
                <a:lnTo>
                  <a:pt x="27165" y="27927"/>
                </a:lnTo>
                <a:lnTo>
                  <a:pt x="32277" y="27927"/>
                </a:lnTo>
                <a:lnTo>
                  <a:pt x="33223" y="27343"/>
                </a:lnTo>
                <a:lnTo>
                  <a:pt x="35331" y="25260"/>
                </a:lnTo>
                <a:lnTo>
                  <a:pt x="38061" y="20459"/>
                </a:lnTo>
                <a:lnTo>
                  <a:pt x="38747" y="17932"/>
                </a:lnTo>
                <a:lnTo>
                  <a:pt x="38747" y="11112"/>
                </a:lnTo>
                <a:lnTo>
                  <a:pt x="37071" y="7531"/>
                </a:lnTo>
                <a:lnTo>
                  <a:pt x="32138" y="3111"/>
                </a:lnTo>
                <a:close/>
              </a:path>
            </a:pathLst>
          </a:custGeom>
          <a:solidFill>
            <a:srgbClr val="000000"/>
          </a:solidFill>
        </xdr:spPr>
      </xdr:sp>
      <xdr:sp macro="" textlink="">
        <xdr:nvSpPr>
          <xdr:cNvPr id="80" name="Shape 33">
            <a:extLst>
              <a:ext uri="{FF2B5EF4-FFF2-40B4-BE49-F238E27FC236}">
                <a16:creationId xmlns:a16="http://schemas.microsoft.com/office/drawing/2014/main" id="{F6B9558B-B349-9849-BA92-C862F4767E82}"/>
              </a:ext>
            </a:extLst>
          </xdr:cNvPr>
          <xdr:cNvSpPr/>
        </xdr:nvSpPr>
        <xdr:spPr>
          <a:xfrm>
            <a:off x="831964" y="17818"/>
            <a:ext cx="142875" cy="356870"/>
          </a:xfrm>
          <a:custGeom>
            <a:avLst/>
            <a:gdLst/>
            <a:ahLst/>
            <a:cxnLst/>
            <a:rect l="0" t="0" r="0" b="0"/>
            <a:pathLst>
              <a:path w="142875" h="356870">
                <a:moveTo>
                  <a:pt x="0" y="356336"/>
                </a:moveTo>
                <a:lnTo>
                  <a:pt x="142697" y="0"/>
                </a:lnTo>
              </a:path>
            </a:pathLst>
          </a:custGeom>
          <a:ln w="4635">
            <a:solidFill>
              <a:srgbClr val="000000"/>
            </a:solidFill>
          </a:ln>
        </xdr:spPr>
      </xdr:sp>
      <xdr:sp macro="" textlink="">
        <xdr:nvSpPr>
          <xdr:cNvPr id="81" name="Shape 34">
            <a:extLst>
              <a:ext uri="{FF2B5EF4-FFF2-40B4-BE49-F238E27FC236}">
                <a16:creationId xmlns:a16="http://schemas.microsoft.com/office/drawing/2014/main" id="{4359E2A2-E4E2-0609-A809-95130B8A0604}"/>
              </a:ext>
            </a:extLst>
          </xdr:cNvPr>
          <xdr:cNvSpPr/>
        </xdr:nvSpPr>
        <xdr:spPr>
          <a:xfrm>
            <a:off x="833196" y="110134"/>
            <a:ext cx="183515" cy="263525"/>
          </a:xfrm>
          <a:custGeom>
            <a:avLst/>
            <a:gdLst/>
            <a:ahLst/>
            <a:cxnLst/>
            <a:rect l="0" t="0" r="0" b="0"/>
            <a:pathLst>
              <a:path w="183515" h="263525">
                <a:moveTo>
                  <a:pt x="0" y="263334"/>
                </a:moveTo>
                <a:lnTo>
                  <a:pt x="183375" y="0"/>
                </a:lnTo>
              </a:path>
            </a:pathLst>
          </a:custGeom>
          <a:ln w="4635">
            <a:solidFill>
              <a:srgbClr val="000000"/>
            </a:solidFill>
          </a:ln>
        </xdr:spPr>
      </xdr:sp>
      <xdr:sp macro="" textlink="">
        <xdr:nvSpPr>
          <xdr:cNvPr id="82" name="Shape 35">
            <a:extLst>
              <a:ext uri="{FF2B5EF4-FFF2-40B4-BE49-F238E27FC236}">
                <a16:creationId xmlns:a16="http://schemas.microsoft.com/office/drawing/2014/main" id="{A446811F-7C68-6E37-9F5A-2F032C747F36}"/>
              </a:ext>
            </a:extLst>
          </xdr:cNvPr>
          <xdr:cNvSpPr/>
        </xdr:nvSpPr>
        <xdr:spPr>
          <a:xfrm>
            <a:off x="927227" y="5765"/>
            <a:ext cx="0" cy="0"/>
          </a:xfrm>
          <a:custGeom>
            <a:avLst/>
            <a:gdLst/>
            <a:ahLst/>
            <a:cxnLst/>
            <a:rect l="0" t="0" r="0" b="0"/>
            <a:pathLst>
              <a:path>
                <a:moveTo>
                  <a:pt x="0" y="0"/>
                </a:moveTo>
              </a:path>
            </a:pathLst>
          </a:custGeom>
          <a:solidFill>
            <a:srgbClr val="000000"/>
          </a:solidFill>
        </xdr:spPr>
      </xdr:sp>
      <xdr:sp macro="" textlink="">
        <xdr:nvSpPr>
          <xdr:cNvPr id="83" name="Shape 36">
            <a:extLst>
              <a:ext uri="{FF2B5EF4-FFF2-40B4-BE49-F238E27FC236}">
                <a16:creationId xmlns:a16="http://schemas.microsoft.com/office/drawing/2014/main" id="{A5EEDC5A-602E-D5B1-B594-E04A3B25A368}"/>
              </a:ext>
            </a:extLst>
          </xdr:cNvPr>
          <xdr:cNvSpPr/>
        </xdr:nvSpPr>
        <xdr:spPr>
          <a:xfrm>
            <a:off x="911263" y="76555"/>
            <a:ext cx="138430" cy="58419"/>
          </a:xfrm>
          <a:custGeom>
            <a:avLst/>
            <a:gdLst/>
            <a:ahLst/>
            <a:cxnLst/>
            <a:rect l="0" t="0" r="0" b="0"/>
            <a:pathLst>
              <a:path w="138430" h="58419">
                <a:moveTo>
                  <a:pt x="0" y="0"/>
                </a:moveTo>
                <a:lnTo>
                  <a:pt x="48106" y="6913"/>
                </a:lnTo>
                <a:lnTo>
                  <a:pt x="100372" y="30729"/>
                </a:lnTo>
                <a:lnTo>
                  <a:pt x="133832" y="54040"/>
                </a:lnTo>
                <a:lnTo>
                  <a:pt x="138010" y="57899"/>
                </a:lnTo>
              </a:path>
            </a:pathLst>
          </a:custGeom>
          <a:ln w="6946">
            <a:solidFill>
              <a:srgbClr val="000000"/>
            </a:solidFill>
          </a:ln>
        </xdr:spPr>
      </xdr:sp>
    </xdr:grpSp>
    <xdr:clientData/>
  </xdr:oneCellAnchor>
  <xdr:oneCellAnchor>
    <xdr:from>
      <xdr:col>63</xdr:col>
      <xdr:colOff>710399</xdr:colOff>
      <xdr:row>0</xdr:row>
      <xdr:rowOff>63995</xdr:rowOff>
    </xdr:from>
    <xdr:ext cx="676910" cy="1099185"/>
    <xdr:grpSp>
      <xdr:nvGrpSpPr>
        <xdr:cNvPr id="84" name="Group 37">
          <a:extLst>
            <a:ext uri="{FF2B5EF4-FFF2-40B4-BE49-F238E27FC236}">
              <a16:creationId xmlns:a16="http://schemas.microsoft.com/office/drawing/2014/main" id="{762B6E76-18D5-49EB-AAFB-7F1DF8D343D8}"/>
            </a:ext>
          </a:extLst>
        </xdr:cNvPr>
        <xdr:cNvGrpSpPr/>
      </xdr:nvGrpSpPr>
      <xdr:grpSpPr>
        <a:xfrm>
          <a:off x="52840089" y="60185"/>
          <a:ext cx="676910" cy="1099185"/>
          <a:chOff x="0" y="0"/>
          <a:chExt cx="676910" cy="1099185"/>
        </a:xfrm>
      </xdr:grpSpPr>
      <xdr:sp macro="" textlink="">
        <xdr:nvSpPr>
          <xdr:cNvPr id="85" name="Shape 38">
            <a:extLst>
              <a:ext uri="{FF2B5EF4-FFF2-40B4-BE49-F238E27FC236}">
                <a16:creationId xmlns:a16="http://schemas.microsoft.com/office/drawing/2014/main" id="{3DF83A87-2EA7-B72E-2091-1B687480885F}"/>
              </a:ext>
            </a:extLst>
          </xdr:cNvPr>
          <xdr:cNvSpPr/>
        </xdr:nvSpPr>
        <xdr:spPr>
          <a:xfrm>
            <a:off x="510374" y="1031113"/>
            <a:ext cx="44450" cy="57150"/>
          </a:xfrm>
          <a:custGeom>
            <a:avLst/>
            <a:gdLst/>
            <a:ahLst/>
            <a:cxnLst/>
            <a:rect l="0" t="0" r="0" b="0"/>
            <a:pathLst>
              <a:path w="44450" h="57150">
                <a:moveTo>
                  <a:pt x="20904" y="0"/>
                </a:moveTo>
                <a:lnTo>
                  <a:pt x="2171" y="0"/>
                </a:lnTo>
                <a:lnTo>
                  <a:pt x="1523" y="228"/>
                </a:lnTo>
                <a:lnTo>
                  <a:pt x="304" y="1142"/>
                </a:lnTo>
                <a:lnTo>
                  <a:pt x="0" y="1943"/>
                </a:lnTo>
                <a:lnTo>
                  <a:pt x="0" y="55143"/>
                </a:lnTo>
                <a:lnTo>
                  <a:pt x="304" y="55943"/>
                </a:lnTo>
                <a:lnTo>
                  <a:pt x="1523" y="56857"/>
                </a:lnTo>
                <a:lnTo>
                  <a:pt x="2171" y="57086"/>
                </a:lnTo>
                <a:lnTo>
                  <a:pt x="20002" y="57086"/>
                </a:lnTo>
                <a:lnTo>
                  <a:pt x="24244" y="56489"/>
                </a:lnTo>
                <a:lnTo>
                  <a:pt x="31381" y="54076"/>
                </a:lnTo>
                <a:lnTo>
                  <a:pt x="34378" y="52260"/>
                </a:lnTo>
                <a:lnTo>
                  <a:pt x="35918" y="50736"/>
                </a:lnTo>
                <a:lnTo>
                  <a:pt x="7670" y="50736"/>
                </a:lnTo>
                <a:lnTo>
                  <a:pt x="7670" y="6311"/>
                </a:lnTo>
                <a:lnTo>
                  <a:pt x="36139" y="6311"/>
                </a:lnTo>
                <a:lnTo>
                  <a:pt x="34899" y="5041"/>
                </a:lnTo>
                <a:lnTo>
                  <a:pt x="32016" y="3200"/>
                </a:lnTo>
                <a:lnTo>
                  <a:pt x="25120" y="634"/>
                </a:lnTo>
                <a:lnTo>
                  <a:pt x="20904" y="0"/>
                </a:lnTo>
                <a:close/>
              </a:path>
              <a:path w="44450" h="57150">
                <a:moveTo>
                  <a:pt x="36139" y="6311"/>
                </a:moveTo>
                <a:lnTo>
                  <a:pt x="19443" y="6311"/>
                </a:lnTo>
                <a:lnTo>
                  <a:pt x="22707" y="6857"/>
                </a:lnTo>
                <a:lnTo>
                  <a:pt x="27749" y="9029"/>
                </a:lnTo>
                <a:lnTo>
                  <a:pt x="36187" y="32651"/>
                </a:lnTo>
                <a:lnTo>
                  <a:pt x="35852" y="35255"/>
                </a:lnTo>
                <a:lnTo>
                  <a:pt x="19240" y="50736"/>
                </a:lnTo>
                <a:lnTo>
                  <a:pt x="35918" y="50736"/>
                </a:lnTo>
                <a:lnTo>
                  <a:pt x="39281" y="47409"/>
                </a:lnTo>
                <a:lnTo>
                  <a:pt x="41147" y="44348"/>
                </a:lnTo>
                <a:lnTo>
                  <a:pt x="43700" y="36969"/>
                </a:lnTo>
                <a:lnTo>
                  <a:pt x="44348" y="32651"/>
                </a:lnTo>
                <a:lnTo>
                  <a:pt x="44348" y="23406"/>
                </a:lnTo>
                <a:lnTo>
                  <a:pt x="43738" y="19557"/>
                </a:lnTo>
                <a:lnTo>
                  <a:pt x="41338" y="12738"/>
                </a:lnTo>
                <a:lnTo>
                  <a:pt x="39573" y="9829"/>
                </a:lnTo>
                <a:lnTo>
                  <a:pt x="36139" y="6311"/>
                </a:lnTo>
                <a:close/>
              </a:path>
            </a:pathLst>
          </a:custGeom>
          <a:solidFill>
            <a:srgbClr val="000000"/>
          </a:solidFill>
        </xdr:spPr>
      </xdr:sp>
      <xdr:sp macro="" textlink="">
        <xdr:nvSpPr>
          <xdr:cNvPr id="86" name="Shape 39">
            <a:extLst>
              <a:ext uri="{FF2B5EF4-FFF2-40B4-BE49-F238E27FC236}">
                <a16:creationId xmlns:a16="http://schemas.microsoft.com/office/drawing/2014/main" id="{75F1A838-6933-6B80-A338-9FD2396BB790}"/>
              </a:ext>
            </a:extLst>
          </xdr:cNvPr>
          <xdr:cNvSpPr/>
        </xdr:nvSpPr>
        <xdr:spPr>
          <a:xfrm>
            <a:off x="561047" y="1064780"/>
            <a:ext cx="116205" cy="0"/>
          </a:xfrm>
          <a:custGeom>
            <a:avLst/>
            <a:gdLst/>
            <a:ahLst/>
            <a:cxnLst/>
            <a:rect l="0" t="0" r="0" b="0"/>
            <a:pathLst>
              <a:path w="116205">
                <a:moveTo>
                  <a:pt x="0" y="0"/>
                </a:moveTo>
                <a:lnTo>
                  <a:pt x="115646" y="0"/>
                </a:lnTo>
              </a:path>
            </a:pathLst>
          </a:custGeom>
          <a:ln w="4635">
            <a:solidFill>
              <a:srgbClr val="000000"/>
            </a:solidFill>
          </a:ln>
        </xdr:spPr>
      </xdr:sp>
      <xdr:sp macro="" textlink="">
        <xdr:nvSpPr>
          <xdr:cNvPr id="87" name="Shape 40">
            <a:extLst>
              <a:ext uri="{FF2B5EF4-FFF2-40B4-BE49-F238E27FC236}">
                <a16:creationId xmlns:a16="http://schemas.microsoft.com/office/drawing/2014/main" id="{F45CAF66-DA90-7D13-77F6-0E502C3C49F2}"/>
              </a:ext>
            </a:extLst>
          </xdr:cNvPr>
          <xdr:cNvSpPr/>
        </xdr:nvSpPr>
        <xdr:spPr>
          <a:xfrm>
            <a:off x="639876" y="961059"/>
            <a:ext cx="0" cy="114935"/>
          </a:xfrm>
          <a:custGeom>
            <a:avLst/>
            <a:gdLst/>
            <a:ahLst/>
            <a:cxnLst/>
            <a:rect l="0" t="0" r="0" b="0"/>
            <a:pathLst>
              <a:path h="114935">
                <a:moveTo>
                  <a:pt x="0" y="0"/>
                </a:moveTo>
                <a:lnTo>
                  <a:pt x="0" y="114630"/>
                </a:lnTo>
              </a:path>
            </a:pathLst>
          </a:custGeom>
          <a:ln w="4635">
            <a:solidFill>
              <a:srgbClr val="000000"/>
            </a:solidFill>
          </a:ln>
        </xdr:spPr>
      </xdr:sp>
      <xdr:sp macro="" textlink="">
        <xdr:nvSpPr>
          <xdr:cNvPr id="88" name="Shape 41">
            <a:extLst>
              <a:ext uri="{FF2B5EF4-FFF2-40B4-BE49-F238E27FC236}">
                <a16:creationId xmlns:a16="http://schemas.microsoft.com/office/drawing/2014/main" id="{0D293D82-1D96-D129-047B-1AE9F7CA439F}"/>
              </a:ext>
            </a:extLst>
          </xdr:cNvPr>
          <xdr:cNvSpPr/>
        </xdr:nvSpPr>
        <xdr:spPr>
          <a:xfrm>
            <a:off x="609523" y="1037869"/>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89" name="Shape 42">
            <a:extLst>
              <a:ext uri="{FF2B5EF4-FFF2-40B4-BE49-F238E27FC236}">
                <a16:creationId xmlns:a16="http://schemas.microsoft.com/office/drawing/2014/main" id="{AEFF8BCD-22D2-1220-77BA-532B4183BB5A}"/>
              </a:ext>
            </a:extLst>
          </xdr:cNvPr>
          <xdr:cNvSpPr/>
        </xdr:nvSpPr>
        <xdr:spPr>
          <a:xfrm>
            <a:off x="310413" y="1003274"/>
            <a:ext cx="30480" cy="57785"/>
          </a:xfrm>
          <a:custGeom>
            <a:avLst/>
            <a:gdLst/>
            <a:ahLst/>
            <a:cxnLst/>
            <a:rect l="0" t="0" r="0" b="0"/>
            <a:pathLst>
              <a:path w="30480" h="57785">
                <a:moveTo>
                  <a:pt x="3111" y="0"/>
                </a:moveTo>
                <a:lnTo>
                  <a:pt x="508" y="469"/>
                </a:lnTo>
                <a:lnTo>
                  <a:pt x="50" y="965"/>
                </a:lnTo>
                <a:lnTo>
                  <a:pt x="0" y="55410"/>
                </a:lnTo>
                <a:lnTo>
                  <a:pt x="304" y="56210"/>
                </a:lnTo>
                <a:lnTo>
                  <a:pt x="1524" y="57124"/>
                </a:lnTo>
                <a:lnTo>
                  <a:pt x="2171" y="57353"/>
                </a:lnTo>
                <a:lnTo>
                  <a:pt x="28613" y="57353"/>
                </a:lnTo>
                <a:lnTo>
                  <a:pt x="29222" y="57023"/>
                </a:lnTo>
                <a:lnTo>
                  <a:pt x="29654" y="56261"/>
                </a:lnTo>
                <a:lnTo>
                  <a:pt x="29895" y="54635"/>
                </a:lnTo>
                <a:lnTo>
                  <a:pt x="29806" y="52539"/>
                </a:lnTo>
                <a:lnTo>
                  <a:pt x="29387" y="51295"/>
                </a:lnTo>
                <a:lnTo>
                  <a:pt x="28841" y="50838"/>
                </a:lnTo>
                <a:lnTo>
                  <a:pt x="28346" y="50774"/>
                </a:lnTo>
                <a:lnTo>
                  <a:pt x="7658" y="50774"/>
                </a:lnTo>
                <a:lnTo>
                  <a:pt x="7607" y="965"/>
                </a:lnTo>
                <a:lnTo>
                  <a:pt x="7366" y="609"/>
                </a:lnTo>
                <a:lnTo>
                  <a:pt x="6172" y="177"/>
                </a:lnTo>
                <a:lnTo>
                  <a:pt x="3111" y="0"/>
                </a:lnTo>
                <a:close/>
              </a:path>
            </a:pathLst>
          </a:custGeom>
          <a:solidFill>
            <a:srgbClr val="000000"/>
          </a:solidFill>
        </xdr:spPr>
      </xdr:sp>
      <xdr:sp macro="" textlink="">
        <xdr:nvSpPr>
          <xdr:cNvPr id="90" name="Shape 43">
            <a:extLst>
              <a:ext uri="{FF2B5EF4-FFF2-40B4-BE49-F238E27FC236}">
                <a16:creationId xmlns:a16="http://schemas.microsoft.com/office/drawing/2014/main" id="{EBC62982-8BC6-9DA8-4C28-6E18707C8D90}"/>
              </a:ext>
            </a:extLst>
          </xdr:cNvPr>
          <xdr:cNvSpPr/>
        </xdr:nvSpPr>
        <xdr:spPr>
          <a:xfrm>
            <a:off x="407708" y="959358"/>
            <a:ext cx="0" cy="104139"/>
          </a:xfrm>
          <a:custGeom>
            <a:avLst/>
            <a:gdLst/>
            <a:ahLst/>
            <a:cxnLst/>
            <a:rect l="0" t="0" r="0" b="0"/>
            <a:pathLst>
              <a:path h="104139">
                <a:moveTo>
                  <a:pt x="0" y="0"/>
                </a:moveTo>
                <a:lnTo>
                  <a:pt x="0" y="103771"/>
                </a:lnTo>
              </a:path>
            </a:pathLst>
          </a:custGeom>
          <a:ln w="4635">
            <a:solidFill>
              <a:srgbClr val="000000"/>
            </a:solidFill>
          </a:ln>
        </xdr:spPr>
      </xdr:sp>
      <xdr:sp macro="" textlink="">
        <xdr:nvSpPr>
          <xdr:cNvPr id="91" name="Shape 44">
            <a:extLst>
              <a:ext uri="{FF2B5EF4-FFF2-40B4-BE49-F238E27FC236}">
                <a16:creationId xmlns:a16="http://schemas.microsoft.com/office/drawing/2014/main" id="{5C8CAF63-396D-5135-70CC-FC849F62CF27}"/>
              </a:ext>
            </a:extLst>
          </xdr:cNvPr>
          <xdr:cNvSpPr/>
        </xdr:nvSpPr>
        <xdr:spPr>
          <a:xfrm>
            <a:off x="385584" y="1036167"/>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92" name="Shape 45">
            <a:extLst>
              <a:ext uri="{FF2B5EF4-FFF2-40B4-BE49-F238E27FC236}">
                <a16:creationId xmlns:a16="http://schemas.microsoft.com/office/drawing/2014/main" id="{1BEEFB89-1F49-15D6-9608-7B69BCD2BD01}"/>
              </a:ext>
            </a:extLst>
          </xdr:cNvPr>
          <xdr:cNvSpPr/>
        </xdr:nvSpPr>
        <xdr:spPr>
          <a:xfrm>
            <a:off x="192798" y="984681"/>
            <a:ext cx="99060" cy="35560"/>
          </a:xfrm>
          <a:custGeom>
            <a:avLst/>
            <a:gdLst/>
            <a:ahLst/>
            <a:cxnLst/>
            <a:rect l="0" t="0" r="0" b="0"/>
            <a:pathLst>
              <a:path w="99060" h="35560">
                <a:moveTo>
                  <a:pt x="99021" y="34937"/>
                </a:moveTo>
                <a:lnTo>
                  <a:pt x="0" y="0"/>
                </a:lnTo>
              </a:path>
            </a:pathLst>
          </a:custGeom>
          <a:ln w="4635">
            <a:solidFill>
              <a:srgbClr val="000000"/>
            </a:solidFill>
          </a:ln>
        </xdr:spPr>
      </xdr:sp>
      <xdr:sp macro="" textlink="">
        <xdr:nvSpPr>
          <xdr:cNvPr id="93" name="Shape 46">
            <a:extLst>
              <a:ext uri="{FF2B5EF4-FFF2-40B4-BE49-F238E27FC236}">
                <a16:creationId xmlns:a16="http://schemas.microsoft.com/office/drawing/2014/main" id="{381D2596-9EB5-6976-3092-208D39CAB86A}"/>
              </a:ext>
            </a:extLst>
          </xdr:cNvPr>
          <xdr:cNvSpPr/>
        </xdr:nvSpPr>
        <xdr:spPr>
          <a:xfrm>
            <a:off x="237007" y="892873"/>
            <a:ext cx="0" cy="114935"/>
          </a:xfrm>
          <a:custGeom>
            <a:avLst/>
            <a:gdLst/>
            <a:ahLst/>
            <a:cxnLst/>
            <a:rect l="0" t="0" r="0" b="0"/>
            <a:pathLst>
              <a:path h="114935">
                <a:moveTo>
                  <a:pt x="0" y="0"/>
                </a:moveTo>
                <a:lnTo>
                  <a:pt x="0" y="114617"/>
                </a:lnTo>
              </a:path>
            </a:pathLst>
          </a:custGeom>
          <a:ln w="4635">
            <a:solidFill>
              <a:srgbClr val="000000"/>
            </a:solidFill>
          </a:ln>
        </xdr:spPr>
      </xdr:sp>
      <xdr:sp macro="" textlink="">
        <xdr:nvSpPr>
          <xdr:cNvPr id="94" name="Shape 47">
            <a:extLst>
              <a:ext uri="{FF2B5EF4-FFF2-40B4-BE49-F238E27FC236}">
                <a16:creationId xmlns:a16="http://schemas.microsoft.com/office/drawing/2014/main" id="{B09FAA17-1DA4-E729-AC2E-A41AA3FE8073}"/>
              </a:ext>
            </a:extLst>
          </xdr:cNvPr>
          <xdr:cNvSpPr/>
        </xdr:nvSpPr>
        <xdr:spPr>
          <a:xfrm>
            <a:off x="204114" y="969683"/>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95" name="Shape 48">
            <a:extLst>
              <a:ext uri="{FF2B5EF4-FFF2-40B4-BE49-F238E27FC236}">
                <a16:creationId xmlns:a16="http://schemas.microsoft.com/office/drawing/2014/main" id="{C74ABF70-0CD2-35A8-B590-E8FA0A89CE15}"/>
              </a:ext>
            </a:extLst>
          </xdr:cNvPr>
          <xdr:cNvSpPr/>
        </xdr:nvSpPr>
        <xdr:spPr>
          <a:xfrm>
            <a:off x="343509" y="1037653"/>
            <a:ext cx="66040" cy="26034"/>
          </a:xfrm>
          <a:custGeom>
            <a:avLst/>
            <a:gdLst/>
            <a:ahLst/>
            <a:cxnLst/>
            <a:rect l="0" t="0" r="0" b="0"/>
            <a:pathLst>
              <a:path w="66040" h="26034">
                <a:moveTo>
                  <a:pt x="65887" y="25628"/>
                </a:moveTo>
                <a:lnTo>
                  <a:pt x="0" y="0"/>
                </a:lnTo>
              </a:path>
            </a:pathLst>
          </a:custGeom>
          <a:ln w="4635">
            <a:solidFill>
              <a:srgbClr val="000000"/>
            </a:solidFill>
          </a:ln>
        </xdr:spPr>
      </xdr:sp>
      <xdr:sp macro="" textlink="">
        <xdr:nvSpPr>
          <xdr:cNvPr id="96" name="Shape 49">
            <a:extLst>
              <a:ext uri="{FF2B5EF4-FFF2-40B4-BE49-F238E27FC236}">
                <a16:creationId xmlns:a16="http://schemas.microsoft.com/office/drawing/2014/main" id="{F9D2DF9A-6A22-6DB3-F521-B5E922AD85FE}"/>
              </a:ext>
            </a:extLst>
          </xdr:cNvPr>
          <xdr:cNvSpPr/>
        </xdr:nvSpPr>
        <xdr:spPr>
          <a:xfrm>
            <a:off x="4635" y="4635"/>
            <a:ext cx="175895" cy="916305"/>
          </a:xfrm>
          <a:custGeom>
            <a:avLst/>
            <a:gdLst/>
            <a:ahLst/>
            <a:cxnLst/>
            <a:rect l="0" t="0" r="0" b="0"/>
            <a:pathLst>
              <a:path w="175895" h="916305">
                <a:moveTo>
                  <a:pt x="175806" y="915695"/>
                </a:moveTo>
                <a:lnTo>
                  <a:pt x="175806" y="94703"/>
                </a:lnTo>
                <a:lnTo>
                  <a:pt x="0" y="0"/>
                </a:lnTo>
                <a:lnTo>
                  <a:pt x="0" y="821042"/>
                </a:lnTo>
                <a:lnTo>
                  <a:pt x="175806" y="915695"/>
                </a:lnTo>
                <a:close/>
              </a:path>
            </a:pathLst>
          </a:custGeom>
          <a:ln w="9271">
            <a:solidFill>
              <a:srgbClr val="000000"/>
            </a:solidFill>
          </a:ln>
        </xdr:spPr>
      </xdr:sp>
      <xdr:sp macro="" textlink="">
        <xdr:nvSpPr>
          <xdr:cNvPr id="97" name="Shape 50">
            <a:extLst>
              <a:ext uri="{FF2B5EF4-FFF2-40B4-BE49-F238E27FC236}">
                <a16:creationId xmlns:a16="http://schemas.microsoft.com/office/drawing/2014/main" id="{19308CA5-CA3A-606C-EAA8-0BA6D9A8A151}"/>
              </a:ext>
            </a:extLst>
          </xdr:cNvPr>
          <xdr:cNvSpPr/>
        </xdr:nvSpPr>
        <xdr:spPr>
          <a:xfrm>
            <a:off x="234276" y="463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sp macro="" textlink="">
        <xdr:nvSpPr>
          <xdr:cNvPr id="98" name="Shape 51">
            <a:extLst>
              <a:ext uri="{FF2B5EF4-FFF2-40B4-BE49-F238E27FC236}">
                <a16:creationId xmlns:a16="http://schemas.microsoft.com/office/drawing/2014/main" id="{B46F7FCA-23B4-E6CC-CF3B-8BBB4E1F1E19}"/>
              </a:ext>
            </a:extLst>
          </xdr:cNvPr>
          <xdr:cNvSpPr/>
        </xdr:nvSpPr>
        <xdr:spPr>
          <a:xfrm>
            <a:off x="463905" y="4635"/>
            <a:ext cx="175895" cy="916305"/>
          </a:xfrm>
          <a:custGeom>
            <a:avLst/>
            <a:gdLst/>
            <a:ahLst/>
            <a:cxnLst/>
            <a:rect l="0" t="0" r="0" b="0"/>
            <a:pathLst>
              <a:path w="175895" h="916305">
                <a:moveTo>
                  <a:pt x="175806" y="915695"/>
                </a:moveTo>
                <a:lnTo>
                  <a:pt x="175806" y="94703"/>
                </a:lnTo>
                <a:lnTo>
                  <a:pt x="0" y="0"/>
                </a:lnTo>
                <a:lnTo>
                  <a:pt x="0" y="821042"/>
                </a:lnTo>
                <a:lnTo>
                  <a:pt x="175806" y="915695"/>
                </a:lnTo>
                <a:close/>
              </a:path>
            </a:pathLst>
          </a:custGeom>
          <a:ln w="9271">
            <a:solidFill>
              <a:srgbClr val="000000"/>
            </a:solidFill>
          </a:ln>
        </xdr:spPr>
      </xdr:sp>
      <xdr:sp macro="" textlink="">
        <xdr:nvSpPr>
          <xdr:cNvPr id="99" name="Shape 52">
            <a:extLst>
              <a:ext uri="{FF2B5EF4-FFF2-40B4-BE49-F238E27FC236}">
                <a16:creationId xmlns:a16="http://schemas.microsoft.com/office/drawing/2014/main" id="{B44883D2-3971-452B-64C7-98E537F567D3}"/>
              </a:ext>
            </a:extLst>
          </xdr:cNvPr>
          <xdr:cNvSpPr/>
        </xdr:nvSpPr>
        <xdr:spPr>
          <a:xfrm>
            <a:off x="404634" y="1064653"/>
            <a:ext cx="100965" cy="0"/>
          </a:xfrm>
          <a:custGeom>
            <a:avLst/>
            <a:gdLst/>
            <a:ahLst/>
            <a:cxnLst/>
            <a:rect l="0" t="0" r="0" b="0"/>
            <a:pathLst>
              <a:path w="100965">
                <a:moveTo>
                  <a:pt x="0" y="0"/>
                </a:moveTo>
                <a:lnTo>
                  <a:pt x="100609" y="0"/>
                </a:lnTo>
              </a:path>
            </a:pathLst>
          </a:custGeom>
          <a:ln w="4635">
            <a:solidFill>
              <a:srgbClr val="000000"/>
            </a:solidFill>
          </a:ln>
        </xdr:spPr>
      </xdr:sp>
    </xdr:grpSp>
    <xdr:clientData/>
  </xdr:oneCellAnchor>
  <xdr:oneCellAnchor>
    <xdr:from>
      <xdr:col>63</xdr:col>
      <xdr:colOff>113715</xdr:colOff>
      <xdr:row>0</xdr:row>
      <xdr:rowOff>63995</xdr:rowOff>
    </xdr:from>
    <xdr:ext cx="320675" cy="1160145"/>
    <xdr:grpSp>
      <xdr:nvGrpSpPr>
        <xdr:cNvPr id="100" name="Group 53">
          <a:extLst>
            <a:ext uri="{FF2B5EF4-FFF2-40B4-BE49-F238E27FC236}">
              <a16:creationId xmlns:a16="http://schemas.microsoft.com/office/drawing/2014/main" id="{FA5D55E2-6FBF-44EC-B005-4BE477BB09DD}"/>
            </a:ext>
          </a:extLst>
        </xdr:cNvPr>
        <xdr:cNvGrpSpPr/>
      </xdr:nvGrpSpPr>
      <xdr:grpSpPr>
        <a:xfrm>
          <a:off x="52247215" y="60185"/>
          <a:ext cx="320675" cy="1160145"/>
          <a:chOff x="0" y="0"/>
          <a:chExt cx="320675" cy="1160145"/>
        </a:xfrm>
      </xdr:grpSpPr>
      <xdr:sp macro="" textlink="">
        <xdr:nvSpPr>
          <xdr:cNvPr id="101" name="Shape 54">
            <a:extLst>
              <a:ext uri="{FF2B5EF4-FFF2-40B4-BE49-F238E27FC236}">
                <a16:creationId xmlns:a16="http://schemas.microsoft.com/office/drawing/2014/main" id="{D67D3EEB-4AB0-4064-852C-CF8AC011AC2F}"/>
              </a:ext>
            </a:extLst>
          </xdr:cNvPr>
          <xdr:cNvSpPr/>
        </xdr:nvSpPr>
        <xdr:spPr>
          <a:xfrm>
            <a:off x="159664" y="954443"/>
            <a:ext cx="52069" cy="43180"/>
          </a:xfrm>
          <a:custGeom>
            <a:avLst/>
            <a:gdLst/>
            <a:ahLst/>
            <a:cxnLst/>
            <a:rect l="0" t="0" r="0" b="0"/>
            <a:pathLst>
              <a:path w="52069" h="43180">
                <a:moveTo>
                  <a:pt x="21564" y="0"/>
                </a:moveTo>
                <a:lnTo>
                  <a:pt x="13309" y="0"/>
                </a:lnTo>
                <a:lnTo>
                  <a:pt x="9055" y="2006"/>
                </a:lnTo>
                <a:lnTo>
                  <a:pt x="1816" y="10045"/>
                </a:lnTo>
                <a:lnTo>
                  <a:pt x="0" y="15290"/>
                </a:lnTo>
                <a:lnTo>
                  <a:pt x="0" y="27279"/>
                </a:lnTo>
                <a:lnTo>
                  <a:pt x="1549" y="32207"/>
                </a:lnTo>
                <a:lnTo>
                  <a:pt x="7721" y="40855"/>
                </a:lnTo>
                <a:lnTo>
                  <a:pt x="12547" y="43014"/>
                </a:lnTo>
                <a:lnTo>
                  <a:pt x="21729" y="43014"/>
                </a:lnTo>
                <a:lnTo>
                  <a:pt x="24066" y="42570"/>
                </a:lnTo>
                <a:lnTo>
                  <a:pt x="28168" y="40779"/>
                </a:lnTo>
                <a:lnTo>
                  <a:pt x="29282" y="39979"/>
                </a:lnTo>
                <a:lnTo>
                  <a:pt x="17018" y="39979"/>
                </a:lnTo>
                <a:lnTo>
                  <a:pt x="15252" y="39331"/>
                </a:lnTo>
                <a:lnTo>
                  <a:pt x="8559" y="16078"/>
                </a:lnTo>
                <a:lnTo>
                  <a:pt x="9525" y="11036"/>
                </a:lnTo>
                <a:lnTo>
                  <a:pt x="13385" y="4724"/>
                </a:lnTo>
                <a:lnTo>
                  <a:pt x="15798" y="3136"/>
                </a:lnTo>
                <a:lnTo>
                  <a:pt x="27213" y="3136"/>
                </a:lnTo>
                <a:lnTo>
                  <a:pt x="24549" y="1028"/>
                </a:lnTo>
                <a:lnTo>
                  <a:pt x="21564" y="0"/>
                </a:lnTo>
                <a:close/>
              </a:path>
              <a:path w="52069" h="43180">
                <a:moveTo>
                  <a:pt x="38920" y="31775"/>
                </a:moveTo>
                <a:lnTo>
                  <a:pt x="35648" y="31775"/>
                </a:lnTo>
                <a:lnTo>
                  <a:pt x="36753" y="36410"/>
                </a:lnTo>
                <a:lnTo>
                  <a:pt x="37985" y="39446"/>
                </a:lnTo>
                <a:lnTo>
                  <a:pt x="40754" y="42265"/>
                </a:lnTo>
                <a:lnTo>
                  <a:pt x="42291" y="42976"/>
                </a:lnTo>
                <a:lnTo>
                  <a:pt x="45796" y="42976"/>
                </a:lnTo>
                <a:lnTo>
                  <a:pt x="47396" y="42163"/>
                </a:lnTo>
                <a:lnTo>
                  <a:pt x="50152" y="38925"/>
                </a:lnTo>
                <a:lnTo>
                  <a:pt x="50509" y="37769"/>
                </a:lnTo>
                <a:lnTo>
                  <a:pt x="42748" y="37769"/>
                </a:lnTo>
                <a:lnTo>
                  <a:pt x="41402" y="36956"/>
                </a:lnTo>
                <a:lnTo>
                  <a:pt x="39763" y="34455"/>
                </a:lnTo>
                <a:lnTo>
                  <a:pt x="38920" y="31775"/>
                </a:lnTo>
                <a:close/>
              </a:path>
              <a:path w="52069" h="43180">
                <a:moveTo>
                  <a:pt x="27213" y="3136"/>
                </a:moveTo>
                <a:lnTo>
                  <a:pt x="21336" y="3136"/>
                </a:lnTo>
                <a:lnTo>
                  <a:pt x="23901" y="4330"/>
                </a:lnTo>
                <a:lnTo>
                  <a:pt x="28956" y="9131"/>
                </a:lnTo>
                <a:lnTo>
                  <a:pt x="31013" y="13360"/>
                </a:lnTo>
                <a:lnTo>
                  <a:pt x="32626" y="19418"/>
                </a:lnTo>
                <a:lnTo>
                  <a:pt x="30238" y="28206"/>
                </a:lnTo>
                <a:lnTo>
                  <a:pt x="27762" y="34023"/>
                </a:lnTo>
                <a:lnTo>
                  <a:pt x="23279" y="38925"/>
                </a:lnTo>
                <a:lnTo>
                  <a:pt x="21183" y="39979"/>
                </a:lnTo>
                <a:lnTo>
                  <a:pt x="29282" y="39979"/>
                </a:lnTo>
                <a:lnTo>
                  <a:pt x="30025" y="39446"/>
                </a:lnTo>
                <a:lnTo>
                  <a:pt x="33070" y="36271"/>
                </a:lnTo>
                <a:lnTo>
                  <a:pt x="34340" y="34328"/>
                </a:lnTo>
                <a:lnTo>
                  <a:pt x="35648" y="31775"/>
                </a:lnTo>
                <a:lnTo>
                  <a:pt x="38920" y="31775"/>
                </a:lnTo>
                <a:lnTo>
                  <a:pt x="37807" y="27279"/>
                </a:lnTo>
                <a:lnTo>
                  <a:pt x="37841" y="27076"/>
                </a:lnTo>
                <a:lnTo>
                  <a:pt x="39611" y="21272"/>
                </a:lnTo>
                <a:lnTo>
                  <a:pt x="41575" y="14477"/>
                </a:lnTo>
                <a:lnTo>
                  <a:pt x="34175" y="14477"/>
                </a:lnTo>
                <a:lnTo>
                  <a:pt x="32067" y="8915"/>
                </a:lnTo>
                <a:lnTo>
                  <a:pt x="29718" y="5118"/>
                </a:lnTo>
                <a:lnTo>
                  <a:pt x="27213" y="3136"/>
                </a:lnTo>
                <a:close/>
              </a:path>
              <a:path w="52069" h="43180">
                <a:moveTo>
                  <a:pt x="51473" y="31775"/>
                </a:moveTo>
                <a:lnTo>
                  <a:pt x="49682" y="31775"/>
                </a:lnTo>
                <a:lnTo>
                  <a:pt x="49364" y="33832"/>
                </a:lnTo>
                <a:lnTo>
                  <a:pt x="48691" y="35344"/>
                </a:lnTo>
                <a:lnTo>
                  <a:pt x="46672" y="37287"/>
                </a:lnTo>
                <a:lnTo>
                  <a:pt x="45567" y="37769"/>
                </a:lnTo>
                <a:lnTo>
                  <a:pt x="50509" y="37769"/>
                </a:lnTo>
                <a:lnTo>
                  <a:pt x="51054" y="36004"/>
                </a:lnTo>
                <a:lnTo>
                  <a:pt x="51473" y="31775"/>
                </a:lnTo>
                <a:close/>
              </a:path>
              <a:path w="52069" h="43180">
                <a:moveTo>
                  <a:pt x="45415" y="1193"/>
                </a:moveTo>
                <a:lnTo>
                  <a:pt x="38011" y="1193"/>
                </a:lnTo>
                <a:lnTo>
                  <a:pt x="34175" y="14477"/>
                </a:lnTo>
                <a:lnTo>
                  <a:pt x="41575" y="14477"/>
                </a:lnTo>
                <a:lnTo>
                  <a:pt x="45415" y="1193"/>
                </a:lnTo>
                <a:close/>
              </a:path>
            </a:pathLst>
          </a:custGeom>
          <a:solidFill>
            <a:srgbClr val="000000"/>
          </a:solidFill>
        </xdr:spPr>
      </xdr:sp>
      <xdr:sp macro="" textlink="">
        <xdr:nvSpPr>
          <xdr:cNvPr id="102" name="Shape 55">
            <a:extLst>
              <a:ext uri="{FF2B5EF4-FFF2-40B4-BE49-F238E27FC236}">
                <a16:creationId xmlns:a16="http://schemas.microsoft.com/office/drawing/2014/main" id="{6395AB88-58C0-E480-3E31-1A4AA5D27823}"/>
              </a:ext>
            </a:extLst>
          </xdr:cNvPr>
          <xdr:cNvSpPr/>
        </xdr:nvSpPr>
        <xdr:spPr>
          <a:xfrm>
            <a:off x="3175" y="823201"/>
            <a:ext cx="135255" cy="334010"/>
          </a:xfrm>
          <a:custGeom>
            <a:avLst/>
            <a:gdLst/>
            <a:ahLst/>
            <a:cxnLst/>
            <a:rect l="0" t="0" r="0" b="0"/>
            <a:pathLst>
              <a:path w="135255" h="334010">
                <a:moveTo>
                  <a:pt x="0" y="333768"/>
                </a:moveTo>
                <a:lnTo>
                  <a:pt x="134823" y="0"/>
                </a:lnTo>
              </a:path>
            </a:pathLst>
          </a:custGeom>
          <a:ln w="6350">
            <a:solidFill>
              <a:srgbClr val="000000"/>
            </a:solidFill>
          </a:ln>
        </xdr:spPr>
      </xdr:sp>
      <xdr:sp macro="" textlink="">
        <xdr:nvSpPr>
          <xdr:cNvPr id="103" name="Shape 56">
            <a:extLst>
              <a:ext uri="{FF2B5EF4-FFF2-40B4-BE49-F238E27FC236}">
                <a16:creationId xmlns:a16="http://schemas.microsoft.com/office/drawing/2014/main" id="{0BB73F03-1E6A-324C-3DCE-EDA828DB7760}"/>
              </a:ext>
            </a:extLst>
          </xdr:cNvPr>
          <xdr:cNvSpPr/>
        </xdr:nvSpPr>
        <xdr:spPr>
          <a:xfrm>
            <a:off x="53847" y="842987"/>
            <a:ext cx="205740" cy="105410"/>
          </a:xfrm>
          <a:custGeom>
            <a:avLst/>
            <a:gdLst/>
            <a:ahLst/>
            <a:cxnLst/>
            <a:rect l="0" t="0" r="0" b="0"/>
            <a:pathLst>
              <a:path w="205740" h="105410">
                <a:moveTo>
                  <a:pt x="0" y="85928"/>
                </a:moveTo>
                <a:lnTo>
                  <a:pt x="34949" y="100116"/>
                </a:lnTo>
                <a:lnTo>
                  <a:pt x="58759" y="104949"/>
                </a:lnTo>
                <a:lnTo>
                  <a:pt x="82374" y="100519"/>
                </a:lnTo>
                <a:lnTo>
                  <a:pt x="116738" y="86918"/>
                </a:lnTo>
                <a:lnTo>
                  <a:pt x="158683" y="61614"/>
                </a:lnTo>
                <a:lnTo>
                  <a:pt x="186102" y="33039"/>
                </a:lnTo>
                <a:lnTo>
                  <a:pt x="201048" y="9673"/>
                </a:lnTo>
                <a:lnTo>
                  <a:pt x="205574" y="0"/>
                </a:lnTo>
              </a:path>
            </a:pathLst>
          </a:custGeom>
          <a:ln w="6946">
            <a:solidFill>
              <a:srgbClr val="000000"/>
            </a:solidFill>
          </a:ln>
        </xdr:spPr>
      </xdr:sp>
      <xdr:sp macro="" textlink="">
        <xdr:nvSpPr>
          <xdr:cNvPr id="104" name="Shape 57">
            <a:extLst>
              <a:ext uri="{FF2B5EF4-FFF2-40B4-BE49-F238E27FC236}">
                <a16:creationId xmlns:a16="http://schemas.microsoft.com/office/drawing/2014/main" id="{074AF4AE-FC08-28CF-B092-E7264917397B}"/>
              </a:ext>
            </a:extLst>
          </xdr:cNvPr>
          <xdr:cNvSpPr/>
        </xdr:nvSpPr>
        <xdr:spPr>
          <a:xfrm>
            <a:off x="139801" y="463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grpSp>
    <xdr:clientData/>
  </xdr:oneCellAnchor>
  <xdr:oneCellAnchor>
    <xdr:from>
      <xdr:col>63</xdr:col>
      <xdr:colOff>485406</xdr:colOff>
      <xdr:row>0</xdr:row>
      <xdr:rowOff>68630</xdr:rowOff>
    </xdr:from>
    <xdr:ext cx="175895" cy="916305"/>
    <xdr:sp macro="" textlink="">
      <xdr:nvSpPr>
        <xdr:cNvPr id="105" name="Shape 58">
          <a:extLst>
            <a:ext uri="{FF2B5EF4-FFF2-40B4-BE49-F238E27FC236}">
              <a16:creationId xmlns:a16="http://schemas.microsoft.com/office/drawing/2014/main" id="{60DEDACE-453B-4067-AFA6-3C6BB91FFC41}"/>
            </a:ext>
          </a:extLst>
        </xdr:cNvPr>
        <xdr:cNvSpPr/>
      </xdr:nvSpPr>
      <xdr:spPr>
        <a:xfrm>
          <a:off x="50894881" y="6545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17</xdr:col>
      <xdr:colOff>115888</xdr:colOff>
      <xdr:row>3</xdr:row>
      <xdr:rowOff>31936</xdr:rowOff>
    </xdr:from>
    <xdr:to>
      <xdr:col>20</xdr:col>
      <xdr:colOff>511661</xdr:colOff>
      <xdr:row>19</xdr:row>
      <xdr:rowOff>1470</xdr:rowOff>
    </xdr:to>
    <xdr:pic>
      <xdr:nvPicPr>
        <xdr:cNvPr id="14" name="Picture 13">
          <a:extLst>
            <a:ext uri="{FF2B5EF4-FFF2-40B4-BE49-F238E27FC236}">
              <a16:creationId xmlns:a16="http://schemas.microsoft.com/office/drawing/2014/main" id="{F1D7BCD6-A14C-CAF2-F56D-FDEBDF5B7333}"/>
            </a:ext>
          </a:extLst>
        </xdr:cNvPr>
        <xdr:cNvPicPr>
          <a:picLocks noChangeAspect="1"/>
        </xdr:cNvPicPr>
      </xdr:nvPicPr>
      <xdr:blipFill>
        <a:blip xmlns:r="http://schemas.openxmlformats.org/officeDocument/2006/relationships" r:embed="rId1"/>
        <a:stretch>
          <a:fillRect/>
        </a:stretch>
      </xdr:blipFill>
      <xdr:spPr>
        <a:xfrm>
          <a:off x="15613623" y="693083"/>
          <a:ext cx="2782626" cy="3017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645459</xdr:colOff>
      <xdr:row>64</xdr:row>
      <xdr:rowOff>136768</xdr:rowOff>
    </xdr:from>
    <xdr:to>
      <xdr:col>8</xdr:col>
      <xdr:colOff>0</xdr:colOff>
      <xdr:row>83</xdr:row>
      <xdr:rowOff>110066</xdr:rowOff>
    </xdr:to>
    <xdr:graphicFrame macro="">
      <xdr:nvGraphicFramePr>
        <xdr:cNvPr id="5" name="Chart 3">
          <a:extLst>
            <a:ext uri="{FF2B5EF4-FFF2-40B4-BE49-F238E27FC236}">
              <a16:creationId xmlns:a16="http://schemas.microsoft.com/office/drawing/2014/main" id="{5830F9AD-B90E-453A-9858-21263C796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25</xdr:row>
      <xdr:rowOff>39687</xdr:rowOff>
    </xdr:from>
    <xdr:to>
      <xdr:col>8</xdr:col>
      <xdr:colOff>539750</xdr:colOff>
      <xdr:row>45</xdr:row>
      <xdr:rowOff>87313</xdr:rowOff>
    </xdr:to>
    <xdr:grpSp>
      <xdr:nvGrpSpPr>
        <xdr:cNvPr id="9" name="Grupo 8">
          <a:extLst>
            <a:ext uri="{FF2B5EF4-FFF2-40B4-BE49-F238E27FC236}">
              <a16:creationId xmlns:a16="http://schemas.microsoft.com/office/drawing/2014/main" id="{3F58A8DF-3732-34B3-02E2-D4CB7BD5620D}"/>
            </a:ext>
          </a:extLst>
        </xdr:cNvPr>
        <xdr:cNvGrpSpPr/>
      </xdr:nvGrpSpPr>
      <xdr:grpSpPr>
        <a:xfrm>
          <a:off x="357188" y="5111750"/>
          <a:ext cx="11495405" cy="3383281"/>
          <a:chOff x="365125" y="4976812"/>
          <a:chExt cx="11684000" cy="3222626"/>
        </a:xfrm>
      </xdr:grpSpPr>
      <xdr:grpSp>
        <xdr:nvGrpSpPr>
          <xdr:cNvPr id="5" name="Grupo 4">
            <a:extLst>
              <a:ext uri="{FF2B5EF4-FFF2-40B4-BE49-F238E27FC236}">
                <a16:creationId xmlns:a16="http://schemas.microsoft.com/office/drawing/2014/main" id="{9955D91E-22C8-530D-5841-9BB2B1BC2D49}"/>
              </a:ext>
            </a:extLst>
          </xdr:cNvPr>
          <xdr:cNvGrpSpPr/>
        </xdr:nvGrpSpPr>
        <xdr:grpSpPr>
          <a:xfrm>
            <a:off x="365125" y="4976812"/>
            <a:ext cx="11684000" cy="3222626"/>
            <a:chOff x="317500" y="3937000"/>
            <a:chExt cx="11684000" cy="3222626"/>
          </a:xfrm>
        </xdr:grpSpPr>
        <xdr:sp macro="" textlink="">
          <xdr:nvSpPr>
            <xdr:cNvPr id="8" name="Rectángulo 7">
              <a:extLst>
                <a:ext uri="{FF2B5EF4-FFF2-40B4-BE49-F238E27FC236}">
                  <a16:creationId xmlns:a16="http://schemas.microsoft.com/office/drawing/2014/main" id="{9E7FF0EB-7FA7-79DA-37D3-84DB49545C31}"/>
                </a:ext>
              </a:extLst>
            </xdr:cNvPr>
            <xdr:cNvSpPr/>
          </xdr:nvSpPr>
          <xdr:spPr>
            <a:xfrm>
              <a:off x="6310312" y="3937000"/>
              <a:ext cx="5691188" cy="3222626"/>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sp macro="" textlink="">
          <xdr:nvSpPr>
            <xdr:cNvPr id="4" name="Rectángulo 3">
              <a:extLst>
                <a:ext uri="{FF2B5EF4-FFF2-40B4-BE49-F238E27FC236}">
                  <a16:creationId xmlns:a16="http://schemas.microsoft.com/office/drawing/2014/main" id="{5732471C-D9E9-504E-BF7C-58D6722BA1A3}"/>
                </a:ext>
              </a:extLst>
            </xdr:cNvPr>
            <xdr:cNvSpPr/>
          </xdr:nvSpPr>
          <xdr:spPr>
            <a:xfrm>
              <a:off x="317500" y="3937000"/>
              <a:ext cx="5881688" cy="2127250"/>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pic>
          <xdr:nvPicPr>
            <xdr:cNvPr id="2" name="Imagen 1">
              <a:extLst>
                <a:ext uri="{FF2B5EF4-FFF2-40B4-BE49-F238E27FC236}">
                  <a16:creationId xmlns:a16="http://schemas.microsoft.com/office/drawing/2014/main" id="{194AB60D-97A0-CCAC-6C3C-2B9FFE28CC04}"/>
                </a:ext>
              </a:extLst>
            </xdr:cNvPr>
            <xdr:cNvPicPr>
              <a:picLocks noChangeAspect="1"/>
            </xdr:cNvPicPr>
          </xdr:nvPicPr>
          <xdr:blipFill>
            <a:blip xmlns:r="http://schemas.openxmlformats.org/officeDocument/2006/relationships" r:embed="rId1"/>
            <a:stretch>
              <a:fillRect/>
            </a:stretch>
          </xdr:blipFill>
          <xdr:spPr>
            <a:xfrm>
              <a:off x="373061" y="4259620"/>
              <a:ext cx="5762627" cy="1734985"/>
            </a:xfrm>
            <a:prstGeom prst="rect">
              <a:avLst/>
            </a:prstGeom>
          </xdr:spPr>
        </xdr:pic>
        <xdr:sp macro="" textlink="">
          <xdr:nvSpPr>
            <xdr:cNvPr id="3" name="CuadroTexto 2">
              <a:extLst>
                <a:ext uri="{FF2B5EF4-FFF2-40B4-BE49-F238E27FC236}">
                  <a16:creationId xmlns:a16="http://schemas.microsoft.com/office/drawing/2014/main" id="{1EB8F55B-23C2-4DCA-9C9E-F6F701822AAC}"/>
                </a:ext>
              </a:extLst>
            </xdr:cNvPr>
            <xdr:cNvSpPr txBox="1"/>
          </xdr:nvSpPr>
          <xdr:spPr>
            <a:xfrm>
              <a:off x="349251"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Chile y LATAM</a:t>
              </a:r>
              <a:endParaRPr lang="es-CL" sz="1000" b="1">
                <a:latin typeface="Arial" panose="020B0604020202020204" pitchFamily="34" charset="0"/>
                <a:cs typeface="Arial" panose="020B0604020202020204" pitchFamily="34" charset="0"/>
              </a:endParaRPr>
            </a:p>
          </xdr:txBody>
        </xdr:sp>
        <xdr:sp macro="" textlink="">
          <xdr:nvSpPr>
            <xdr:cNvPr id="7" name="CuadroTexto 6">
              <a:extLst>
                <a:ext uri="{FF2B5EF4-FFF2-40B4-BE49-F238E27FC236}">
                  <a16:creationId xmlns:a16="http://schemas.microsoft.com/office/drawing/2014/main" id="{14A60211-0B53-E870-6BAD-A09AD261B3F2}"/>
                </a:ext>
              </a:extLst>
            </xdr:cNvPr>
            <xdr:cNvSpPr txBox="1"/>
          </xdr:nvSpPr>
          <xdr:spPr>
            <a:xfrm>
              <a:off x="6342064"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México</a:t>
              </a:r>
              <a:endParaRPr lang="es-CL" sz="1000" b="1">
                <a:latin typeface="Arial" panose="020B0604020202020204" pitchFamily="34" charset="0"/>
                <a:cs typeface="Arial" panose="020B0604020202020204" pitchFamily="34" charset="0"/>
              </a:endParaRPr>
            </a:p>
          </xdr:txBody>
        </xdr:sp>
      </xdr:grpSp>
      <xdr:pic>
        <xdr:nvPicPr>
          <xdr:cNvPr id="6" name="Imagen 5">
            <a:extLst>
              <a:ext uri="{FF2B5EF4-FFF2-40B4-BE49-F238E27FC236}">
                <a16:creationId xmlns:a16="http://schemas.microsoft.com/office/drawing/2014/main" id="{0D65C48C-FD9A-A2B2-3A0F-EEB2B24CB4B7}"/>
              </a:ext>
            </a:extLst>
          </xdr:cNvPr>
          <xdr:cNvPicPr>
            <a:picLocks noChangeAspect="1"/>
          </xdr:cNvPicPr>
        </xdr:nvPicPr>
        <xdr:blipFill>
          <a:blip xmlns:r="http://schemas.openxmlformats.org/officeDocument/2006/relationships" r:embed="rId2"/>
          <a:stretch>
            <a:fillRect/>
          </a:stretch>
        </xdr:blipFill>
        <xdr:spPr>
          <a:xfrm>
            <a:off x="6437314" y="5334001"/>
            <a:ext cx="5538293" cy="274637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bpgroup.sharepoint.com/sites/EBPChileTest/Freigegebene%20Dokumente/220172_Minergie%20Chile/12_Proyectos/Z.%20FSM/FSM_FINAL/FSM%20(A5).xlsx" TargetMode="External"/><Relationship Id="rId1" Type="http://schemas.openxmlformats.org/officeDocument/2006/relationships/externalLinkPath" Target="/sites/EBPChileTest/Freigegebene%20Dokumente/220172_Minergie%20Chile/12_Proyectos/Z.%20FSM/FSM_FINAL/FSM%20(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sO3-EoItBUapU3tYCyRyK45Cun7D2uJJsG6Ek8Y8SyhWflp2LuhdTIUmfcMjRXd0" itemId="01Y4HWUSROV2YLJYK6JZGJM4HBPFCBYJNW">
      <xxl21:absoluteUrl r:id="rId2"/>
    </xxl21:alternateUrls>
    <sheetNames>
      <sheetName val="FSM"/>
      <sheetName val="Formula limites"/>
      <sheetName val="Anexo 1"/>
      <sheetName val="Anexo 2"/>
      <sheetName val="Voladizo"/>
      <sheetName val="Retranqueo"/>
      <sheetName val="Lama horizontal"/>
      <sheetName val="Lama vertical"/>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rce, Pedro" id="{F586FB8B-81E3-48C4-9B90-37696875E026}" userId="S::Pedro.Arce@ebpchile.cl::da3411ce-0f06-49a4-aa7d-45be0a4164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6482B5-2B5E-4315-A110-EF6A07E1A73C}" name="Tabla510" displayName="Tabla510" ref="J8:K29" totalsRowShown="0" headerRowDxfId="321" dataDxfId="320">
  <autoFilter ref="J8:K29" xr:uid="{D16482B5-2B5E-4315-A110-EF6A07E1A73C}"/>
  <tableColumns count="2">
    <tableColumn id="1" xr3:uid="{971F0976-5563-4169-8EDA-D233DFF8ADB6}" name="Biblioteca Personal" dataDxfId="319"/>
    <tableColumn id="2" xr3:uid="{FD195D3D-305C-44C7-B7B8-74F88D32B456}" name="Capacidad Calorifica [kJ/m2/K]" dataDxfId="31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5E8BA6-7BFC-48A5-958D-A57C98821BF6}" name="Tabla17" displayName="Tabla17" ref="P106:Q107" totalsRowShown="0" headerRowDxfId="256" dataDxfId="255">
  <autoFilter ref="P106:Q107" xr:uid="{575E8BA6-7BFC-48A5-958D-A57C98821BF6}"/>
  <tableColumns count="2">
    <tableColumn id="1" xr3:uid="{C4657779-25F1-44C3-ADF4-D2FF2830ACD5}" name="Tipo1" dataDxfId="254"/>
    <tableColumn id="2" xr3:uid="{C2E9D44E-3937-4EC3-ACE1-8DEC08CF3456}" name="tipo 2" dataDxfId="25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036722-8F3E-4291-AFF0-56701E6495EE}" name="Tabla151722" displayName="Tabla151722" ref="P139:R141" totalsRowShown="0" headerRowDxfId="252" dataDxfId="250" headerRowBorderDxfId="251" tableBorderDxfId="249">
  <autoFilter ref="P139:R141" xr:uid="{E9036722-8F3E-4291-AFF0-56701E6495EE}"/>
  <tableColumns count="3">
    <tableColumn id="1" xr3:uid="{8622164C-01F0-49EA-BFAD-177E9027B701}" name="Tipo de cocina" dataDxfId="248"/>
    <tableColumn id="2" xr3:uid="{EDF1F098-6B29-4A5B-BE39-DCBD7A477271}" name="Requerimiento" dataDxfId="247"/>
    <tableColumn id="3" xr3:uid="{79816D23-0F41-4965-B2A2-5610BCA4E594}" name="unidad" dataDxfId="24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88F24A6-8F93-42E3-82F5-E78B74EDC7F4}" name="Tabla2" displayName="Tabla2" ref="G2:H33" totalsRowShown="0" headerRowDxfId="245" dataDxfId="244">
  <autoFilter ref="G2:H33" xr:uid="{C88F24A6-8F93-42E3-82F5-E78B74EDC7F4}"/>
  <tableColumns count="2">
    <tableColumn id="1" xr3:uid="{21A1DD35-6A18-4E61-A33C-A9D4E406C954}" name="Paquete Piso" dataDxfId="243"/>
    <tableColumn id="2" xr3:uid="{DBB9B076-933D-40A2-BEEB-157A2A521A8F}" name="Capacidad calorifica" dataDxfId="24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27D45F-1AE0-4C7B-9A57-E6DD52F34EA5}" name="Biblioteca.Minergie.Paquetes" displayName="Biblioteca.Minergie.Paquetes" ref="J2:J33" totalsRowShown="0" headerRowDxfId="241" dataDxfId="240">
  <autoFilter ref="J2:J33" xr:uid="{DC27D45F-1AE0-4C7B-9A57-E6DD52F34EA5}"/>
  <tableColumns count="1">
    <tableColumn id="1" xr3:uid="{29323279-DB3D-4BAA-9777-476AFCFAAAFB}" name="Biblioteca.Minergie.Paquetes" dataDxfId="239"/>
  </tableColumns>
  <tableStyleInfo name="TableStyleLight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21289E-4BCC-4333-97FC-7C25D7ACE719}" name="Biblioteca.Personal.Paquetes" displayName="Biblioteca.Personal.Paquetes" ref="K2:K33" totalsRowShown="0" headerRowDxfId="238" dataDxfId="237">
  <autoFilter ref="K2:K33" xr:uid="{AA21289E-4BCC-4333-97FC-7C25D7ACE719}"/>
  <tableColumns count="1">
    <tableColumn id="1" xr3:uid="{188AE93B-0B0E-4732-947A-E13654C15ACA}" name="Biblioteca.Personal.Paquetes" dataDxfId="236">
      <calculatedColumnFormula>'A4'!J9</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45B352-2B94-47B5-9672-1B3C1065C9F2}" name="Factoresemisión" displayName="Factoresemisión" ref="A31:D37" totalsRowShown="0" headerRowBorderDxfId="235" tableBorderDxfId="234" totalsRowBorderDxfId="233">
  <autoFilter ref="A31:D37" xr:uid="{F745B352-2B94-47B5-9672-1B3C1065C9F2}"/>
  <tableColumns count="4">
    <tableColumn id="1" xr3:uid="{F34158A9-28FF-4D31-8E3F-A86E458728A7}" name="Fuente de energía" dataDxfId="232"/>
    <tableColumn id="2" xr3:uid="{71922ABA-8016-4AB0-925F-3C0AD8EA0F89}" name="Factor de emisión KgCO2/KWh" dataDxfId="231"/>
    <tableColumn id="3" xr3:uid="{65D8AD4C-7024-4647-B854-DBD84502A268}" name="País" dataDxfId="230"/>
    <tableColumn id="4" xr3:uid="{2B4D4328-2555-41B6-B020-2C4581D4C163}" name="Fuente" dataDxfId="22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AF787-1740-4BCE-B084-2AB3A586C82A}" name="Bilioteca.Minergie" displayName="Bilioteca.Minergie" ref="B41:B47" totalsRowShown="0" dataDxfId="228" tableBorderDxfId="227">
  <autoFilter ref="B41:B47" xr:uid="{309AF787-1740-4BCE-B084-2AB3A586C82A}"/>
  <tableColumns count="1">
    <tableColumn id="1" xr3:uid="{1403DF6B-E38F-41E9-B1D9-504FA49023E9}" name="Tipo.Energético.Minergie" dataDxfId="2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D859B8-55A9-4AD8-84CE-223DA46A06A5}" name="Tipo.Energético.Personal" displayName="Tipo.Energético.Personal" ref="C41:C53" totalsRowShown="0">
  <autoFilter ref="C41:C53" xr:uid="{FAD859B8-55A9-4AD8-84CE-223DA46A06A5}"/>
  <tableColumns count="1">
    <tableColumn id="1" xr3:uid="{1370F447-190A-4F84-AD67-0B99F218F3AA}" name="Tipo.Energético.Personal" dataDxfId="22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11418D-8DF2-4E4F-A2F6-1F44897C7B3D}" name="Material.Biblioteca.Minergie" displayName="Material.Biblioteca.Minergie" ref="H69:H122" totalsRowShown="0" headerRowDxfId="224" dataDxfId="223" tableBorderDxfId="222">
  <autoFilter ref="H69:H122" xr:uid="{2511418D-8DF2-4E4F-A2F6-1F44897C7B3D}"/>
  <tableColumns count="1">
    <tableColumn id="1" xr3:uid="{05D84E78-C0BB-4C70-AB43-5CCF4D743C82}" name="Material.Biblioteca.Minergie" dataDxfId="221">
      <calculatedColumnFormula>B2</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67920-8514-4BA5-A1C2-E7C644067ADF}" name="Material.Biblioteca.Personal" displayName="Material.Biblioteca.Personal" ref="I69:I115" totalsRowShown="0" headerRowDxfId="220" dataDxfId="219" tableBorderDxfId="218">
  <autoFilter ref="I69:I115" xr:uid="{94A67920-8514-4BA5-A1C2-E7C644067ADF}"/>
  <tableColumns count="1">
    <tableColumn id="1" xr3:uid="{E162886E-9204-4C1E-B089-6C09FE5AD337}" name="Material.Biblioteca.Personal" dataDxfId="217">
      <calculatedColumnFormula>'A7'!C90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C635B0-6590-4183-AF13-C5F99D041384}" name="Tabla611" displayName="Tabla611" ref="B6:H16" totalsRowShown="0" headerRowDxfId="317" dataDxfId="315" headerRowBorderDxfId="316" tableBorderDxfId="314">
  <autoFilter ref="B6:H16" xr:uid="{C1C635B0-6590-4183-AF13-C5F99D04138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B8FFC09-073C-4DA9-A2F8-185132B6EA13}" name="Nombre" dataDxfId="313"/>
    <tableColumn id="2" xr3:uid="{1AF04A8B-19B4-41D0-BB1B-E2BBFA0386EC}" name="Superficie Muros exteriores [m2]" dataDxfId="312"/>
    <tableColumn id="12" xr3:uid="{9DD91EF5-23D3-4404-B5CA-7C486D79395E}" name="Superficie particiones interiores [m2]" dataDxfId="311">
      <calculatedColumnFormula>+(4*2)+(4*2)*2.3</calculatedColumnFormula>
    </tableColumn>
    <tableColumn id="6" xr3:uid="{446F290B-2100-4098-8DB0-1D74F3C13F7F}" name="m2_x000a_Ventanas" dataDxfId="310">
      <calculatedColumnFormula>#REF!*#REF!*#REF!</calculatedColumnFormula>
    </tableColumn>
    <tableColumn id="8" xr3:uid="{2B1F8DA5-FA0B-42DD-88CE-3635DB7A2A58}" name="m2_x000a_Puertas exteriores" dataDxfId="309"/>
    <tableColumn id="10" xr3:uid="{B8CABAB6-D64C-4985-A4C8-8F0F51F896DA}" name="m2_x000a_Puertas interiores" dataDxfId="1">
      <calculatedColumnFormula>0.8*2</calculatedColumnFormula>
    </tableColumn>
    <tableColumn id="11" xr3:uid="{F0AA7CD6-63CF-49C4-A247-6996B4FCEA1D}" name="Total superficie Ventanas y puertas exteriores [m2]" dataDxfId="0">
      <calculatedColumnFormula>Tabla611[[#This Row],[m2
Puertas exteriores]]+Tabla611[[#This Row],[m2
Ventanas]]</calculatedColumnFormula>
    </tableColumn>
  </tableColumns>
  <tableStyleInfo name="Estilo de tabla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4C0AC4-A1E7-4453-A906-789F3EE17C43}" name="BIBLIOTECA.MINERGIE" displayName="BIBLIOTECA.MINERGIE" ref="B1:H56" totalsRowShown="0" headerRowDxfId="216" dataDxfId="215" tableBorderDxfId="214">
  <autoFilter ref="B1:H56" xr:uid="{5A4C0AC4-A1E7-4453-A906-789F3EE17C43}"/>
  <tableColumns count="7">
    <tableColumn id="1" xr3:uid="{2BA491BE-28C3-4594-B70F-EAE9B43CE0DD}" name="Material.Biblioteca.Minergie" dataDxfId="213"/>
    <tableColumn id="2" xr3:uid="{FB1E8ED0-5BCD-4C49-B938-B6412C15E216}" name="Unidad de medida" dataDxfId="212"/>
    <tableColumn id="3" xr3:uid="{0C34F5DF-816B-48DF-B1B6-D34A5F0CE764}" name="kgCO2e" dataDxfId="211"/>
    <tableColumn id="4" xr3:uid="{4D97FEC4-12D5-46E2-9639-A540B47D0701}" name="N° DAP" dataDxfId="210"/>
    <tableColumn id="5" xr3:uid="{5382E36B-E586-448C-B187-4469A5D7A147}" name="Fecha Caducidad" dataDxfId="209"/>
    <tableColumn id="6" xr3:uid="{A0D82B0C-F05F-4AB2-B31C-9B509E9E8AE9}" name="País" dataDxfId="208"/>
    <tableColumn id="7" xr3:uid="{A7AFFC51-DC1B-454A-9713-39FE29FE83ED}" name="Comentario" dataDxfId="20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360989-C520-4199-BA21-545149CC4478}" name="BIBLIOTECA.PERSONAL13" displayName="BIBLIOTECA.PERSONAL13" ref="C92:H126" totalsRowShown="0" headerRowDxfId="308" dataDxfId="306" headerRowBorderDxfId="307" tableBorderDxfId="305" totalsRowBorderDxfId="304">
  <autoFilter ref="C92:H126" xr:uid="{D0360989-C520-4199-BA21-545149CC4478}">
    <filterColumn colId="0" hiddenButton="1"/>
    <filterColumn colId="1" hiddenButton="1"/>
    <filterColumn colId="2" hiddenButton="1"/>
    <filterColumn colId="3" hiddenButton="1"/>
    <filterColumn colId="4" hiddenButton="1"/>
    <filterColumn colId="5" hiddenButton="1"/>
  </autoFilter>
  <tableColumns count="6">
    <tableColumn id="1" xr3:uid="{43DA706B-A8DC-4718-BA03-9941275061B9}" name="Material.Biblioteca.Personal" dataDxfId="303"/>
    <tableColumn id="2" xr3:uid="{923C6D09-8568-40EE-ADE8-1C9C5D7827F1}" name="Unidad de medida" dataDxfId="302"/>
    <tableColumn id="3" xr3:uid="{D9009798-BAD5-493D-B4A3-1936347479D1}" name="kgCO2e" dataDxfId="301"/>
    <tableColumn id="4" xr3:uid="{CE30C627-C52E-41AC-BA5C-FB5D18E49B2B}" name="N° DAP" dataDxfId="300"/>
    <tableColumn id="7" xr3:uid="{34B111B2-BE98-46A8-B9F0-B7490E6D5B31}" name="Fecha Caducidad" dataDxfId="299"/>
    <tableColumn id="5" xr3:uid="{CA481C6C-C0B4-4A13-9782-752DB22CCE1C}" name="Vencimiento" dataDxfId="298">
      <calculatedColumnFormula>BIBLIOTECA.PERSONAL13[[#This Row],[Fecha Caducidad]]-$H$91</calculatedColumnFormula>
    </tableColumn>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54350B-0623-4598-BC70-527437FFE7BF}" name="Energético.Personal" displayName="Energético.Personal" ref="K92:M100" totalsRowShown="0" headerRowDxfId="297" dataDxfId="295" headerRowBorderDxfId="296" tableBorderDxfId="294" totalsRowBorderDxfId="293">
  <autoFilter ref="K92:M100" xr:uid="{9654350B-0623-4598-BC70-527437FFE7BF}">
    <filterColumn colId="0" hiddenButton="1"/>
    <filterColumn colId="1" hiddenButton="1"/>
    <filterColumn colId="2" hiddenButton="1"/>
  </autoFilter>
  <tableColumns count="3">
    <tableColumn id="1" xr3:uid="{EFF3A5C6-B44D-4470-A843-3DF1CE39BEDF}" name="Otro Energético" dataDxfId="292"/>
    <tableColumn id="2" xr3:uid="{1BFB056C-D824-49DB-AAA1-800F51C6BE86}" name="Factor de emisión" dataDxfId="291"/>
    <tableColumn id="3" xr3:uid="{B6E2731E-6F45-48A6-965C-0538DF54BBB9}" name="Fuente" dataDxfId="29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B71283-AB88-4D4B-8B7F-5BEA333DEAFB}" name="Sistema.Fotovoltaico" displayName="Sistema.Fotovoltaico" ref="P132:P134" totalsRowShown="0" headerRowDxfId="289" dataDxfId="287" headerRowBorderDxfId="288" tableBorderDxfId="286" totalsRowBorderDxfId="285">
  <autoFilter ref="P132:P134" xr:uid="{F0B71283-AB88-4D4B-8B7F-5BEA333DEAFB}"/>
  <tableColumns count="1">
    <tableColumn id="1" xr3:uid="{24861B64-A659-40A0-90F4-996A2850110F}" name="Sistema.Fotovoltaico" dataDxfId="28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FD55E3-541A-435D-BE5D-A0D10F213013}" name="Colector.solar" displayName="Colector.solar" ref="Q132:Q134" totalsRowShown="0" headerRowDxfId="283" dataDxfId="281" headerRowBorderDxfId="282" tableBorderDxfId="280" totalsRowBorderDxfId="279">
  <autoFilter ref="Q132:Q134" xr:uid="{A0FD55E3-541A-435D-BE5D-A0D10F213013}"/>
  <tableColumns count="1">
    <tableColumn id="1" xr3:uid="{B4AF0A90-1DD5-41EF-A88E-5A70C481C780}" name="Colector.solar" dataDxfId="27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B2A3FEB-AA77-4D40-B81B-B6273032FC58}" name="Otros.sistemas" displayName="Otros.sistemas" ref="R132:S134" totalsRowShown="0" headerRowDxfId="277" dataDxfId="275" headerRowBorderDxfId="276" tableBorderDxfId="274" totalsRowBorderDxfId="273">
  <autoFilter ref="R132:S134" xr:uid="{EB2A3FEB-AA77-4D40-B81B-B6273032FC58}"/>
  <tableColumns count="2">
    <tableColumn id="1" xr3:uid="{C0F63215-11C5-4379-BA0C-786D959418AD}" name="Otros.sistemas" dataDxfId="272"/>
    <tableColumn id="2" xr3:uid="{0C465C9D-2E6C-4660-B468-E7A050A7C1C0}" name="Mixto" dataDxfId="27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7601F8-1FE5-4FC6-82E6-F909F2F73406}" name="Enegerticos.FV" displayName="Enegerticos.FV" ref="P120:R122" totalsRowShown="0" headerRowDxfId="270" dataDxfId="268" headerRowBorderDxfId="269" tableBorderDxfId="267">
  <autoFilter ref="P120:R122" xr:uid="{A17601F8-1FE5-4FC6-82E6-F909F2F73406}"/>
  <tableColumns count="3">
    <tableColumn id="1" xr3:uid="{79506209-3DEB-4EB9-9DE5-BB61A8438F85}" name="Tipo de cocina" dataDxfId="266"/>
    <tableColumn id="2" xr3:uid="{221D0C68-8630-47A6-8D6D-FC921AE8E7D4}" name="Requerimiento" dataDxfId="265"/>
    <tableColumn id="3" xr3:uid="{5BFFC4A9-8080-430E-B551-AFCE81C75FAE}" name="unidad" dataDxfId="26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2AFB05-4DDE-4495-8A62-CBA84B376CB7}" name="Tabla1517" displayName="Tabla1517" ref="P127:R129" totalsRowShown="0" headerRowDxfId="263" dataDxfId="261" headerRowBorderDxfId="262" tableBorderDxfId="260">
  <autoFilter ref="P127:R129" xr:uid="{0F2AFB05-4DDE-4495-8A62-CBA84B376CB7}"/>
  <tableColumns count="3">
    <tableColumn id="1" xr3:uid="{6C00E5DB-BEE9-429F-A6D0-F64BD69C15E7}" name="Tipo de cocina" dataDxfId="259"/>
    <tableColumn id="2" xr3:uid="{B43E6F51-6B1B-42B2-BFA1-488CB8DF9FCA}" name="Requerimiento" dataDxfId="258"/>
    <tableColumn id="3" xr3:uid="{C6D3C96C-9C39-458A-9D81-C3C483D33852}" name="unidad" dataDxfId="25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X29" dT="2023-07-14T21:55:53.31" personId="{F586FB8B-81E3-48C4-9B90-37696875E026}" id="{378576E3-5D01-4F35-B13A-8022D547C2C3}">
    <text>Automatico de tabla A.2 anexo 2</text>
  </threadedComment>
  <threadedComment ref="AX36" dT="2023-07-14T21:58:21.70" personId="{F586FB8B-81E3-48C4-9B90-37696875E026}" id="{EC033E50-BD8C-4396-A1CD-9DC33B99B0E4}">
    <text>validar con formula 1</text>
  </threadedComment>
  <threadedComment ref="AX36" dT="2023-07-19T19:56:45.64" personId="{F586FB8B-81E3-48C4-9B90-37696875E026}" id="{B421743F-5934-4A5D-9302-D40D44F648AE}" parentId="{EC033E50-BD8C-4396-A1CD-9DC33B99B0E4}">
    <text>hecho</text>
  </threadedComment>
  <threadedComment ref="AX42" dT="2023-07-14T21:58:41.05" personId="{F586FB8B-81E3-48C4-9B90-37696875E026}" id="{8DECE626-6E91-472F-A5ED-05A5AF5FA714}">
    <text>validar con formula 1</text>
  </threadedComment>
  <threadedComment ref="AX42" dT="2023-07-19T19:58:56.33" personId="{F586FB8B-81E3-48C4-9B90-37696875E026}" id="{F872B5E6-4FC0-4D81-90B9-0BF999B32798}" parentId="{8DECE626-6E91-472F-A5ED-05A5AF5FA714}">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8.vml"/><Relationship Id="rId1" Type="http://schemas.openxmlformats.org/officeDocument/2006/relationships/drawing" Target="../drawings/drawing10.xml"/><Relationship Id="rId6" Type="http://schemas.openxmlformats.org/officeDocument/2006/relationships/comments" Target="../comments2.xml"/><Relationship Id="rId5" Type="http://schemas.openxmlformats.org/officeDocument/2006/relationships/table" Target="../tables/table14.xml"/><Relationship Id="rId4"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8" Type="http://schemas.openxmlformats.org/officeDocument/2006/relationships/hyperlink" Target="https://api.environdec.com/api/v1/EPDLibrary/Files/9fb9c0c5-da4f-465a-aca7-35f3e8c2be9b/Data" TargetMode="External"/><Relationship Id="rId13" Type="http://schemas.openxmlformats.org/officeDocument/2006/relationships/hyperlink" Target="https://www.epddanmark.dk/media/2gldova2/md-21057-en.pdf" TargetMode="External"/><Relationship Id="rId18" Type="http://schemas.openxmlformats.org/officeDocument/2006/relationships/hyperlink" Target="https://api.environdec.com/api/v1/EPDLibrary/Files/43bcc8d7-b04b-4ced-86e2-08db523a4d9e/Data" TargetMode="External"/><Relationship Id="rId3" Type="http://schemas.openxmlformats.org/officeDocument/2006/relationships/hyperlink" Target="https://www.igbc.ie/wp-content/uploads/2019/04/EPD-Mannok-EPS-2-04-19-EPDIE-18-16.pdf" TargetMode="External"/><Relationship Id="rId21" Type="http://schemas.openxmlformats.org/officeDocument/2006/relationships/printerSettings" Target="../printerSettings/printerSettings17.bin"/><Relationship Id="rId7" Type="http://schemas.openxmlformats.org/officeDocument/2006/relationships/hyperlink" Target="https://api.environdec.com/api/v1/EPDLibrary/Files/5d5fa8d3-2dff-4a52-a983-3a82361d3f11/Data" TargetMode="External"/><Relationship Id="rId12" Type="http://schemas.openxmlformats.org/officeDocument/2006/relationships/hyperlink" Target="https://api.environdec.com/api/v1/EPDLibrary/Files/4ab1ebc5-aa39-4993-a589-08dae89fe9e4/Data" TargetMode="External"/><Relationship Id="rId17" Type="http://schemas.openxmlformats.org/officeDocument/2006/relationships/hyperlink" Target="https://api.environdec.com/api/v1/EPDLibrary/Files/817bd065-a963-4fc5-cef4-08daa1eb7336/Data" TargetMode="External"/><Relationship Id="rId25" Type="http://schemas.openxmlformats.org/officeDocument/2006/relationships/table" Target="../tables/table17.xml"/><Relationship Id="rId2" Type="http://schemas.openxmlformats.org/officeDocument/2006/relationships/hyperlink" Target="https://info.nsf.org/Certified/Sustain/ProdCert/EPD10197.pdf" TargetMode="External"/><Relationship Id="rId16" Type="http://schemas.openxmlformats.org/officeDocument/2006/relationships/hyperlink" Target="https://api.environdec.com/api/v1/EPDLibrary/Files/278beebb-0e6b-4647-0319-08d8f01e26c9/Data" TargetMode="External"/><Relationship Id="rId20" Type="http://schemas.openxmlformats.org/officeDocument/2006/relationships/hyperlink" Target="https://api.environdec.com/api/v1/EPDLibrary/Files/0c7f542b-6ea2-4efb-ace5-2413d8d1ad3f/Data" TargetMode="External"/><Relationship Id="rId1" Type="http://schemas.openxmlformats.org/officeDocument/2006/relationships/hyperlink" Target="https://ibudata.lca-data.com/resource/datastocks/7f92c48a-07c6-4a0c-91fd-4166e6138402/processes/455d1522-9e1a-4f1d-badd-28a6c847833a/epd?version=00.01.000" TargetMode="External"/><Relationship Id="rId6" Type="http://schemas.openxmlformats.org/officeDocument/2006/relationships/hyperlink" Target="https://api.environdec.com/api/v1/EPDLibrary/Files/de4d66c9-7bb9-4c35-9b4e-08da3d5507cb/Data" TargetMode="External"/><Relationship Id="rId11" Type="http://schemas.openxmlformats.org/officeDocument/2006/relationships/hyperlink" Target="https://api.environdec.com/api/v1/EPDLibrary/Files/10092f30-55a6-40dc-39c2-08d99c9745fc/Data" TargetMode="External"/><Relationship Id="rId24" Type="http://schemas.openxmlformats.org/officeDocument/2006/relationships/table" Target="../tables/table16.xml"/><Relationship Id="rId5" Type="http://schemas.openxmlformats.org/officeDocument/2006/relationships/hyperlink" Target="https://api.environdec.com/api/v1/EPDLibrary/Files/de4d66c9-7bb9-4c35-9b4e-08da3d5507cb/Data" TargetMode="External"/><Relationship Id="rId15" Type="http://schemas.openxmlformats.org/officeDocument/2006/relationships/hyperlink" Target="https://volcan.cl/wp-content/uploads/2022/06/DAP-Aislanglass.pdf" TargetMode="External"/><Relationship Id="rId23" Type="http://schemas.openxmlformats.org/officeDocument/2006/relationships/table" Target="../tables/table15.xml"/><Relationship Id="rId10" Type="http://schemas.openxmlformats.org/officeDocument/2006/relationships/hyperlink" Target="https://volcan.cl/wp-content/uploads/2022/06/DAP-Volcanita.pdf" TargetMode="External"/><Relationship Id="rId19" Type="http://schemas.openxmlformats.org/officeDocument/2006/relationships/hyperlink" Target="https://api.environdec.com/api/v1/EPDLibrary/Files/d0843cdf-c43c-46a6-8ef2-08db7203e99c/Data" TargetMode="External"/><Relationship Id="rId4" Type="http://schemas.openxmlformats.org/officeDocument/2006/relationships/hyperlink" Target="https://api.environdec.com/api/v1/EPDLibrary/Files/6910b358-7445-4ff0-9b52-08da3d5507cb/Data" TargetMode="External"/><Relationship Id="rId9" Type="http://schemas.openxmlformats.org/officeDocument/2006/relationships/hyperlink" Target="http://materiales.gbce.es/wp-content/uploads/2022/06/EPD-MACY-PINTURA-INTERIOR-ES.pdf" TargetMode="External"/><Relationship Id="rId14" Type="http://schemas.openxmlformats.org/officeDocument/2006/relationships/hyperlink" Target="https://api.environdec.com/api/v1/EPDLibrary/Files/16cd74fc-c5e7-40bf-660b-08d8f3374fee/Data" TargetMode="External"/><Relationship Id="rId22"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www.kone.com/en/Images/KONE_MonoSpace_500_DX_EPD_22012714_tcm17-96160.pdf" TargetMode="External"/><Relationship Id="rId18" Type="http://schemas.openxmlformats.org/officeDocument/2006/relationships/hyperlink" Target="https://www.igbc.ie/wp-content/uploads/2019/04/EPD-Mannok-EPS-2-04-19-EPDIE-18-16.pdf" TargetMode="External"/><Relationship Id="rId26" Type="http://schemas.openxmlformats.org/officeDocument/2006/relationships/hyperlink" Target="https://www.epddanmark.dk/media/2gldova2/md-21057-en.pdf" TargetMode="External"/><Relationship Id="rId39" Type="http://schemas.openxmlformats.org/officeDocument/2006/relationships/hyperlink" Target="https://register.pep-ecopassport.org/pep/consult/mbesqrsCBZbWbKJq6-kJ3m2JfBkDSgTolqQnfAUXdbE/mbesqrsCBZbWbKJq6-kJ3nXTEwaL2H-VUQApFU2-Q6g" TargetMode="External"/><Relationship Id="rId21" Type="http://schemas.openxmlformats.org/officeDocument/2006/relationships/hyperlink" Target="https://api.environdec.com/api/v1/EPDLibrary/Files/342d21c2-fe21-49e4-cd02-08db4c1420c4/Data" TargetMode="External"/><Relationship Id="rId34" Type="http://schemas.openxmlformats.org/officeDocument/2006/relationships/hyperlink" Target="https://www.epditaly.it/en/wp-content/uploads/2016/12/220824_FINDO_EPD_aggregati-naturali_rev03-1.pdf" TargetMode="External"/><Relationship Id="rId42" Type="http://schemas.openxmlformats.org/officeDocument/2006/relationships/hyperlink" Target="https://register.pep-ecopassport.org/pep/consult/mbesqrsCBZbWbKJq6-kJ3itAcihcBIz5ewJYeRLslxE/mbesqrsCBZbWbKJq6-kJ3lQmBuGvAHsLUfQU9idjOpk" TargetMode="External"/><Relationship Id="rId47" Type="http://schemas.openxmlformats.org/officeDocument/2006/relationships/table" Target="../tables/table18.xml"/><Relationship Id="rId7" Type="http://schemas.openxmlformats.org/officeDocument/2006/relationships/hyperlink" Target="https://api.environdec.com/api/v1/EPDLibrary/Files/a4603084-01c1-4568-eb50-08da9c70488d/Data" TargetMode="External"/><Relationship Id="rId2" Type="http://schemas.openxmlformats.org/officeDocument/2006/relationships/hyperlink" Target="https://api.environdec.com/api/v1/EPDLibrary/Files/de4d66c9-7bb9-4c35-9b4e-08da3d5507cb/Data" TargetMode="External"/><Relationship Id="rId16" Type="http://schemas.openxmlformats.org/officeDocument/2006/relationships/hyperlink" Target="file:///C:\Users\MBZ\Downloads\CARR-10006-V02.01-FR.pdf" TargetMode="External"/><Relationship Id="rId29" Type="http://schemas.openxmlformats.org/officeDocument/2006/relationships/hyperlink" Target="https://info.nsf.org/Certified/Sustain/ProdCert/EPD10197.pdf" TargetMode="External"/><Relationship Id="rId11" Type="http://schemas.openxmlformats.org/officeDocument/2006/relationships/hyperlink" Target="https://api.environdec.com/api/v1/EPDLibrary/Files/03e7c611-21b8-4e38-a76e-08da599e304a/Data" TargetMode="External"/><Relationship Id="rId24" Type="http://schemas.openxmlformats.org/officeDocument/2006/relationships/hyperlink" Target="https://volcan.cl/wp-content/uploads/2022/06/DAP-Volcanita.pdf" TargetMode="External"/><Relationship Id="rId32" Type="http://schemas.openxmlformats.org/officeDocument/2006/relationships/hyperlink" Target="https://awc.org/wp-content/uploads/2021/11/AWC_EPD_NorthAmericanGluedLaminatedTimber_20200605.pdf" TargetMode="External"/><Relationship Id="rId37" Type="http://schemas.openxmlformats.org/officeDocument/2006/relationships/hyperlink" Target="https://register.pep-ecopassport.org/pep/consult/mbesqrsCBZbWbKJq6-kJ3iF524oJz8AErNuCOXItByg/mbesqrsCBZbWbKJq6-kJ3nXTEwaL2H-VUQApFU2-Q6g" TargetMode="External"/><Relationship Id="rId40" Type="http://schemas.openxmlformats.org/officeDocument/2006/relationships/hyperlink" Target="https://register.pep-ecopassport.org/pep/consult/mbesqrsCBZbWbKJq6-kJ3m_fuBQfpxbWUbYvW-NQ_1w/mbesqrsCBZbWbKJq6-kJ3nXTEwaL2H-VUQApFU2-Q6g" TargetMode="External"/><Relationship Id="rId45" Type="http://schemas.openxmlformats.org/officeDocument/2006/relationships/hyperlink" Target="https://register.pep-ecopassport.org/pep/consult/mbesqrsCBZbWbKJq6-kJ3nrNCHkzDtrIcNLrw5grLyM/mbesqrsCBZbWbKJq6-kJ3nXTEwaL2H-VUQApFU2-Q6g" TargetMode="External"/><Relationship Id="rId5" Type="http://schemas.openxmlformats.org/officeDocument/2006/relationships/hyperlink" Target="https://www.environdec.com/library/epd3362" TargetMode="External"/><Relationship Id="rId15" Type="http://schemas.openxmlformats.org/officeDocument/2006/relationships/hyperlink" Target="https://register.pep-ecopassport.org/pep/consult/mbesqrsCBZbWbKJq6-kJ3mjQIsx6FjeRH8abDzzfIj4/mbesqrsCBZbWbKJq6-kJ3nXTEwaL2H-VUQApFU2-Q6g" TargetMode="External"/><Relationship Id="rId23" Type="http://schemas.openxmlformats.org/officeDocument/2006/relationships/hyperlink" Target="https://api.environdec.com/api/v1/EPDLibrary/Files/6910b358-7445-4ff0-9b52-08da3d5507cb/Data" TargetMode="External"/><Relationship Id="rId28" Type="http://schemas.openxmlformats.org/officeDocument/2006/relationships/hyperlink" Target="https://www.environdec.com/library/epd2989" TargetMode="External"/><Relationship Id="rId36" Type="http://schemas.openxmlformats.org/officeDocument/2006/relationships/hyperlink" Target="https://register.pep-ecopassport.org/pep/consult/mbesqrsCBZbWbKJq6-kJ3iF524oJz8AErNuCOXItByg/mbesqrsCBZbWbKJq6-kJ3nXTEwaL2H-VUQApFU2-Q6g" TargetMode="External"/><Relationship Id="rId49" Type="http://schemas.openxmlformats.org/officeDocument/2006/relationships/table" Target="../tables/table20.xml"/><Relationship Id="rId10" Type="http://schemas.openxmlformats.org/officeDocument/2006/relationships/hyperlink" Target="https://api.environdec.com/api/v1/EPDLibrary/Files/9fb9c0c5-da4f-465a-aca7-35f3e8c2be9b/Data" TargetMode="External"/><Relationship Id="rId19" Type="http://schemas.openxmlformats.org/officeDocument/2006/relationships/hyperlink" Target="https://www.igbc.ie/epd/medite-exterior-mdf-board/" TargetMode="External"/><Relationship Id="rId31" Type="http://schemas.openxmlformats.org/officeDocument/2006/relationships/hyperlink" Target="https://api.environdec.com/api/v1/EPDLibrary/Files/43bcc8d7-b04b-4ced-86e2-08db523a4d9e/Data" TargetMode="External"/><Relationship Id="rId44" Type="http://schemas.openxmlformats.org/officeDocument/2006/relationships/hyperlink" Target="https://register.pep-ecopassport.org/pep/consult/mbesqrsCBZbWbKJq6-kJ3lspPAj0MVeStXN4E1uY6-Y/mbesqrsCBZbWbKJq6-kJ3nXTEwaL2H-VUQApFU2-Q6g" TargetMode="External"/><Relationship Id="rId4" Type="http://schemas.openxmlformats.org/officeDocument/2006/relationships/hyperlink" Target="https://www.environdec.com/library/epd3362" TargetMode="External"/><Relationship Id="rId9" Type="http://schemas.openxmlformats.org/officeDocument/2006/relationships/hyperlink" Target="https://api.environdec.com/api/v1/EPDLibrary/Files/a4603084-01c1-4568-eb50-08da9c70488d/Data" TargetMode="External"/><Relationship Id="rId14" Type="http://schemas.openxmlformats.org/officeDocument/2006/relationships/hyperlink" Target="file:///C:\Users\MBZ\Downloads\HITA-00001-V01.01-FR.pdf" TargetMode="External"/><Relationship Id="rId22" Type="http://schemas.openxmlformats.org/officeDocument/2006/relationships/hyperlink" Target="https://volcan.cl/wp-content/uploads/2022/06/DAP-Aislanglass.pdf" TargetMode="External"/><Relationship Id="rId27" Type="http://schemas.openxmlformats.org/officeDocument/2006/relationships/hyperlink" Target="https://www.igbc.ie/wp-content/uploads/2021/07/EPD-Steel-Formed-Sections-Ltd-6-7-2021-EPDIE-21-45-reissue-12-06-2023.pdf" TargetMode="External"/><Relationship Id="rId30" Type="http://schemas.openxmlformats.org/officeDocument/2006/relationships/hyperlink" Target="http://materiales.gbce.es/wp-content/uploads/2022/06/EPD-MACY-PINTURA-INTERIOR-ES.pdf" TargetMode="External"/><Relationship Id="rId35" Type="http://schemas.openxmlformats.org/officeDocument/2006/relationships/hyperlink" Target="https://cdn.dcs.bluescope.com.au/download/environmental-product-declaration-epd-zincalume-steel" TargetMode="External"/><Relationship Id="rId43" Type="http://schemas.openxmlformats.org/officeDocument/2006/relationships/hyperlink" Target="https://register.pep-ecopassport.org/pep/consult/mbesqrsCBZbWbKJq6-kJ3lspPAj0MVeStXN4E1uY6-Y/mbesqrsCBZbWbKJq6-kJ3nXTEwaL2H-VUQApFU2-Q6g" TargetMode="External"/><Relationship Id="rId48" Type="http://schemas.openxmlformats.org/officeDocument/2006/relationships/table" Target="../tables/table19.xml"/><Relationship Id="rId8" Type="http://schemas.openxmlformats.org/officeDocument/2006/relationships/hyperlink" Target="https://api.environdec.com/api/v1/EPDLibrary/Files/a4603084-01c1-4568-eb50-08da9c70488d/Data" TargetMode="External"/><Relationship Id="rId3" Type="http://schemas.openxmlformats.org/officeDocument/2006/relationships/hyperlink" Target="https://api.environdec.com/api/v1/EPDLibrary/Files/de4d66c9-7bb9-4c35-9b4e-08da3d5507cb/Data" TargetMode="External"/><Relationship Id="rId12" Type="http://schemas.openxmlformats.org/officeDocument/2006/relationships/hyperlink" Target="file:///C:\Users\MBZ\Downloads\UNIC-00031-V01.01-FR.pdf" TargetMode="External"/><Relationship Id="rId17" Type="http://schemas.openxmlformats.org/officeDocument/2006/relationships/hyperlink" Target="https://www.ecocel.ie/wp-content/uploads/2020/05/EPD-Ecocel-Cellulose-Fibre-Insulation-12.05.2020-EPDIE-20-24.pdf" TargetMode="External"/><Relationship Id="rId25" Type="http://schemas.openxmlformats.org/officeDocument/2006/relationships/hyperlink" Target="https://api.environdec.com/api/v1/EPDLibrary/Files/d0843cdf-c43c-46a6-8ef2-08db7203e99c/Data" TargetMode="External"/><Relationship Id="rId33" Type="http://schemas.openxmlformats.org/officeDocument/2006/relationships/hyperlink" Target="https://awc.org/wp-content/uploads/2021/11/AWC_EPD_NorthAmericanOrientedStrandBoard_20200605.pdf" TargetMode="External"/><Relationship Id="rId38" Type="http://schemas.openxmlformats.org/officeDocument/2006/relationships/hyperlink" Target="https://register.pep-ecopassport.org/pep/consult/mbesqrsCBZbWbKJq6-kJ3m2JfBkDSgTolqQnfAUXdbE/mbesqrsCBZbWbKJq6-kJ3nXTEwaL2H-VUQApFU2-Q6g" TargetMode="External"/><Relationship Id="rId46" Type="http://schemas.openxmlformats.org/officeDocument/2006/relationships/hyperlink" Target="https://register.pep-ecopassport.org/pep/consult/mbesqrsCBZbWbKJq6-kJ3nrNCHkzDtrIcNLrw5grLyM/mbesqrsCBZbWbKJq6-kJ3nXTEwaL2H-VUQApFU2-Q6g" TargetMode="External"/><Relationship Id="rId20" Type="http://schemas.openxmlformats.org/officeDocument/2006/relationships/hyperlink" Target="https://api.environdec.com/api/v1/EPDLibrary/Files/10092f30-55a6-40dc-39c2-08d99c9745fc/Data" TargetMode="External"/><Relationship Id="rId41" Type="http://schemas.openxmlformats.org/officeDocument/2006/relationships/hyperlink" Target="https://register.pep-ecopassport.org/pep/consult/mbesqrsCBZbWbKJq6-kJ3itAcihcBIz5ewJYeRLslxE/mbesqrsCBZbWbKJq6-kJ3lQmBuGvAHsLUfQU9idjOpk" TargetMode="External"/><Relationship Id="rId1" Type="http://schemas.openxmlformats.org/officeDocument/2006/relationships/hyperlink" Target="https://api.environdec.com/api/v1/EPDLibrary/Files/4ab1ebc5-aa39-4993-a589-08dae89fe9e4/Data" TargetMode="External"/><Relationship Id="rId6" Type="http://schemas.openxmlformats.org/officeDocument/2006/relationships/hyperlink" Target="https://api.environdec.com/api/v1/EPDLibrary/Files/e3f50eec-82bc-4186-aabc-08db4497f421/Data"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table" Target="../tables/table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7.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table" Target="../tables/table4.xml"/><Relationship Id="rId2" Type="http://schemas.openxmlformats.org/officeDocument/2006/relationships/hyperlink" Target="https://www.gob.mx/sener/articulos/atlas-nacional-de-zonas-con-alto-potencial-de-energias-limpias?idiom=es" TargetMode="External"/><Relationship Id="rId1" Type="http://schemas.openxmlformats.org/officeDocument/2006/relationships/hyperlink" Target="https://solar.minenergia.cl/fotovoltaico" TargetMode="External"/><Relationship Id="rId6" Type="http://schemas.openxmlformats.org/officeDocument/2006/relationships/table" Target="../tables/table3.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tabSelected="1" zoomScaleNormal="100" zoomScalePageLayoutView="80" workbookViewId="0">
      <selection activeCell="U32" sqref="U32"/>
    </sheetView>
  </sheetViews>
  <sheetFormatPr defaultColWidth="8.6640625" defaultRowHeight="13.2" x14ac:dyDescent="0.25"/>
  <cols>
    <col min="1" max="1" width="5.33203125" customWidth="1"/>
  </cols>
  <sheetData>
    <row r="1" spans="2:12" s="125" customFormat="1" ht="26.7" customHeight="1" x14ac:dyDescent="0.25">
      <c r="B1" s="26" t="s">
        <v>0</v>
      </c>
    </row>
    <row r="3" spans="2:12" x14ac:dyDescent="0.25">
      <c r="B3" s="780" t="s">
        <v>1</v>
      </c>
      <c r="C3" s="780"/>
      <c r="D3" s="780"/>
      <c r="E3" s="780"/>
      <c r="F3" s="780"/>
      <c r="G3" s="780"/>
      <c r="H3" s="780"/>
      <c r="I3" s="780"/>
      <c r="J3" s="780"/>
      <c r="K3" s="780"/>
      <c r="L3" s="780"/>
    </row>
    <row r="4" spans="2:12" x14ac:dyDescent="0.25">
      <c r="B4" s="780"/>
      <c r="C4" s="780"/>
      <c r="D4" s="780"/>
      <c r="E4" s="780"/>
      <c r="F4" s="780"/>
      <c r="G4" s="780"/>
      <c r="H4" s="780"/>
      <c r="I4" s="780"/>
      <c r="J4" s="780"/>
      <c r="K4" s="780"/>
      <c r="L4" s="780"/>
    </row>
    <row r="5" spans="2:12" x14ac:dyDescent="0.25">
      <c r="B5" s="780"/>
      <c r="C5" s="780"/>
      <c r="D5" s="780"/>
      <c r="E5" s="780"/>
      <c r="F5" s="780"/>
      <c r="G5" s="780"/>
      <c r="H5" s="780"/>
      <c r="I5" s="780"/>
      <c r="J5" s="780"/>
      <c r="K5" s="780"/>
      <c r="L5" s="780"/>
    </row>
    <row r="6" spans="2:12" x14ac:dyDescent="0.25">
      <c r="B6" s="780"/>
      <c r="C6" s="780"/>
      <c r="D6" s="780"/>
      <c r="E6" s="780"/>
      <c r="F6" s="780"/>
      <c r="G6" s="780"/>
      <c r="H6" s="780"/>
      <c r="I6" s="780"/>
      <c r="J6" s="780"/>
      <c r="K6" s="780"/>
      <c r="L6" s="780"/>
    </row>
    <row r="7" spans="2:12" x14ac:dyDescent="0.25">
      <c r="B7" s="780"/>
      <c r="C7" s="780"/>
      <c r="D7" s="780"/>
      <c r="E7" s="780"/>
      <c r="F7" s="780"/>
      <c r="G7" s="780"/>
      <c r="H7" s="780"/>
      <c r="I7" s="780"/>
      <c r="J7" s="780"/>
      <c r="K7" s="780"/>
      <c r="L7" s="780"/>
    </row>
    <row r="8" spans="2:12" x14ac:dyDescent="0.25">
      <c r="B8" s="780"/>
      <c r="C8" s="780"/>
      <c r="D8" s="780"/>
      <c r="E8" s="780"/>
      <c r="F8" s="780"/>
      <c r="G8" s="780"/>
      <c r="H8" s="780"/>
      <c r="I8" s="780"/>
      <c r="J8" s="780"/>
      <c r="K8" s="780"/>
      <c r="L8" s="780"/>
    </row>
    <row r="9" spans="2:12" x14ac:dyDescent="0.25">
      <c r="B9" s="780"/>
      <c r="C9" s="780"/>
      <c r="D9" s="780"/>
      <c r="E9" s="780"/>
      <c r="F9" s="780"/>
      <c r="G9" s="780"/>
      <c r="H9" s="780"/>
      <c r="I9" s="780"/>
      <c r="J9" s="780"/>
      <c r="K9" s="780"/>
      <c r="L9" s="780"/>
    </row>
    <row r="10" spans="2:12" x14ac:dyDescent="0.25">
      <c r="B10" s="780"/>
      <c r="C10" s="780"/>
      <c r="D10" s="780"/>
      <c r="E10" s="780"/>
      <c r="F10" s="780"/>
      <c r="G10" s="780"/>
      <c r="H10" s="780"/>
      <c r="I10" s="780"/>
      <c r="J10" s="780"/>
      <c r="K10" s="780"/>
      <c r="L10" s="780"/>
    </row>
    <row r="11" spans="2:12" x14ac:dyDescent="0.25">
      <c r="B11" s="780"/>
      <c r="C11" s="780"/>
      <c r="D11" s="780"/>
      <c r="E11" s="780"/>
      <c r="F11" s="780"/>
      <c r="G11" s="780"/>
      <c r="H11" s="780"/>
      <c r="I11" s="780"/>
      <c r="J11" s="780"/>
      <c r="K11" s="780"/>
      <c r="L11" s="780"/>
    </row>
    <row r="12" spans="2:12" x14ac:dyDescent="0.25">
      <c r="B12" s="780"/>
      <c r="C12" s="780"/>
      <c r="D12" s="780"/>
      <c r="E12" s="780"/>
      <c r="F12" s="780"/>
      <c r="G12" s="780"/>
      <c r="H12" s="780"/>
      <c r="I12" s="780"/>
      <c r="J12" s="780"/>
      <c r="K12" s="780"/>
      <c r="L12" s="780"/>
    </row>
  </sheetData>
  <sheetProtection algorithmName="SHA-512" hashValue="WNS9sPVTCG1fLrqy3ewQtjnjA0b7mfduk6IaCg4K5BKui+wllAodW/z8ypxu/4PFawD133pmqnwd6OqCeI1odQ==" saltValue="aQLwOpw8bHpatR6Nr7IjZQ=="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L22"/>
  <sheetViews>
    <sheetView showGridLines="0" zoomScale="85" zoomScaleNormal="85" zoomScalePageLayoutView="80" workbookViewId="0">
      <selection activeCell="L29" sqref="L29"/>
    </sheetView>
  </sheetViews>
  <sheetFormatPr defaultColWidth="8.6640625" defaultRowHeight="13.2" x14ac:dyDescent="0.25"/>
  <cols>
    <col min="1" max="1" width="5.33203125" customWidth="1"/>
    <col min="2" max="2" width="23.6640625" customWidth="1"/>
    <col min="3" max="3" width="15.6640625" customWidth="1"/>
    <col min="4" max="4" width="18.33203125" customWidth="1"/>
    <col min="5" max="5" width="16.44140625" customWidth="1"/>
    <col min="6" max="6" width="5.33203125" customWidth="1"/>
  </cols>
  <sheetData>
    <row r="1" spans="1:12" s="128" customFormat="1" ht="26.7" customHeight="1" x14ac:dyDescent="0.25">
      <c r="A1" s="126" t="s">
        <v>441</v>
      </c>
      <c r="B1" s="127" t="s">
        <v>442</v>
      </c>
      <c r="C1" s="127"/>
      <c r="D1" s="127"/>
      <c r="E1" s="127"/>
    </row>
    <row r="2" spans="1:12" ht="13.8" thickBot="1" x14ac:dyDescent="0.3"/>
    <row r="3" spans="1:12" ht="40.200000000000003" thickBot="1" x14ac:dyDescent="0.3">
      <c r="B3" s="51" t="s">
        <v>12</v>
      </c>
      <c r="C3" s="62" t="s">
        <v>443</v>
      </c>
      <c r="D3" s="62" t="s">
        <v>444</v>
      </c>
      <c r="E3" s="63" t="s">
        <v>445</v>
      </c>
    </row>
    <row r="4" spans="1:12" ht="13.2" customHeight="1" thickBot="1" x14ac:dyDescent="0.3">
      <c r="B4" s="88" t="s">
        <v>446</v>
      </c>
      <c r="C4" s="287">
        <f>SUM(C5:C8)</f>
        <v>30</v>
      </c>
      <c r="D4" s="321">
        <f>SUM(D5:D8)</f>
        <v>20</v>
      </c>
      <c r="E4" s="318">
        <f>IFERROR(D4/C4," ")</f>
        <v>0.66666666666666663</v>
      </c>
      <c r="G4" s="793" t="s">
        <v>447</v>
      </c>
      <c r="H4" s="793"/>
      <c r="I4" s="793"/>
      <c r="J4" s="793"/>
      <c r="K4" s="793"/>
      <c r="L4" s="793"/>
    </row>
    <row r="5" spans="1:12" x14ac:dyDescent="0.25">
      <c r="B5" s="90" t="s">
        <v>448</v>
      </c>
      <c r="C5" s="79">
        <v>30</v>
      </c>
      <c r="D5" s="79">
        <v>20</v>
      </c>
      <c r="E5" s="64">
        <f>IFERROR(D5/C5," ")</f>
        <v>0.66666666666666663</v>
      </c>
      <c r="G5" s="793"/>
      <c r="H5" s="793"/>
      <c r="I5" s="793"/>
      <c r="J5" s="793"/>
      <c r="K5" s="793"/>
      <c r="L5" s="793"/>
    </row>
    <row r="6" spans="1:12" x14ac:dyDescent="0.25">
      <c r="B6" s="90"/>
      <c r="C6" s="79"/>
      <c r="D6" s="79"/>
      <c r="E6" s="64" t="str">
        <f t="shared" ref="E6:E8" si="0">IFERROR(D6/C6," ")</f>
        <v xml:space="preserve"> </v>
      </c>
      <c r="G6" s="793"/>
      <c r="H6" s="793"/>
      <c r="I6" s="793"/>
      <c r="J6" s="793"/>
      <c r="K6" s="793"/>
      <c r="L6" s="793"/>
    </row>
    <row r="7" spans="1:12" x14ac:dyDescent="0.25">
      <c r="B7" s="90"/>
      <c r="C7" s="79"/>
      <c r="D7" s="79"/>
      <c r="E7" s="64" t="str">
        <f t="shared" si="0"/>
        <v xml:space="preserve"> </v>
      </c>
      <c r="G7" s="793"/>
      <c r="H7" s="793"/>
      <c r="I7" s="793"/>
      <c r="J7" s="793"/>
      <c r="K7" s="793"/>
      <c r="L7" s="793"/>
    </row>
    <row r="8" spans="1:12" ht="13.8" thickBot="1" x14ac:dyDescent="0.3">
      <c r="B8" s="91"/>
      <c r="C8" s="80"/>
      <c r="D8" s="80"/>
      <c r="E8" s="64" t="str">
        <f t="shared" si="0"/>
        <v xml:space="preserve"> </v>
      </c>
      <c r="G8" s="793"/>
      <c r="H8" s="793"/>
      <c r="I8" s="793"/>
      <c r="J8" s="793"/>
      <c r="K8" s="793"/>
      <c r="L8" s="793"/>
    </row>
    <row r="9" spans="1:12" ht="13.8" thickBot="1" x14ac:dyDescent="0.3">
      <c r="B9" s="103" t="s">
        <v>449</v>
      </c>
      <c r="C9" s="119">
        <f>SUM(C10:C12)</f>
        <v>300</v>
      </c>
      <c r="D9" s="119">
        <f>SUM(D10:D12)</f>
        <v>200</v>
      </c>
      <c r="E9" s="318">
        <f>IFERROR(D9/C9," ")</f>
        <v>0.66666666666666663</v>
      </c>
      <c r="G9" s="793"/>
      <c r="H9" s="793"/>
      <c r="I9" s="793"/>
      <c r="J9" s="793"/>
      <c r="K9" s="793"/>
      <c r="L9" s="793"/>
    </row>
    <row r="10" spans="1:12" x14ac:dyDescent="0.25">
      <c r="B10" s="92" t="s">
        <v>450</v>
      </c>
      <c r="C10" s="78">
        <v>300</v>
      </c>
      <c r="D10" s="78">
        <v>200</v>
      </c>
      <c r="E10" s="65">
        <f>IFERROR(D10/C10," ")</f>
        <v>0.66666666666666663</v>
      </c>
      <c r="G10" s="793"/>
      <c r="H10" s="793"/>
      <c r="I10" s="793"/>
      <c r="J10" s="793"/>
      <c r="K10" s="793"/>
      <c r="L10" s="793"/>
    </row>
    <row r="11" spans="1:12" x14ac:dyDescent="0.25">
      <c r="B11" s="90"/>
      <c r="C11" s="79"/>
      <c r="D11" s="79"/>
      <c r="E11" s="64" t="str">
        <f t="shared" ref="E11:E20" si="1">IFERROR(D11/C11," ")</f>
        <v xml:space="preserve"> </v>
      </c>
      <c r="G11" s="793"/>
      <c r="H11" s="793"/>
      <c r="I11" s="793"/>
      <c r="J11" s="793"/>
      <c r="K11" s="793"/>
      <c r="L11" s="793"/>
    </row>
    <row r="12" spans="1:12" ht="13.8" thickBot="1" x14ac:dyDescent="0.3">
      <c r="B12" s="91"/>
      <c r="C12" s="80"/>
      <c r="D12" s="80"/>
      <c r="E12" s="64" t="str">
        <f t="shared" si="1"/>
        <v xml:space="preserve"> </v>
      </c>
      <c r="G12" s="793"/>
      <c r="H12" s="793"/>
      <c r="I12" s="793"/>
      <c r="J12" s="793"/>
      <c r="K12" s="793"/>
      <c r="L12" s="793"/>
    </row>
    <row r="13" spans="1:12" ht="13.8" thickBot="1" x14ac:dyDescent="0.3">
      <c r="B13" s="103" t="s">
        <v>451</v>
      </c>
      <c r="C13" s="119">
        <f>SUM(C14:C16)</f>
        <v>290</v>
      </c>
      <c r="D13" s="119">
        <f>SUM(D14:D16)</f>
        <v>250</v>
      </c>
      <c r="E13" s="319">
        <f t="shared" si="1"/>
        <v>0.86206896551724133</v>
      </c>
      <c r="G13" s="793"/>
      <c r="H13" s="793"/>
      <c r="I13" s="793"/>
      <c r="J13" s="793"/>
      <c r="K13" s="793"/>
      <c r="L13" s="793"/>
    </row>
    <row r="14" spans="1:12" x14ac:dyDescent="0.25">
      <c r="B14" s="92" t="s">
        <v>452</v>
      </c>
      <c r="C14" s="78">
        <v>290</v>
      </c>
      <c r="D14" s="78">
        <v>250</v>
      </c>
      <c r="E14" s="64">
        <f t="shared" si="1"/>
        <v>0.86206896551724133</v>
      </c>
      <c r="G14" s="793"/>
      <c r="H14" s="793"/>
      <c r="I14" s="793"/>
      <c r="J14" s="793"/>
      <c r="K14" s="793"/>
      <c r="L14" s="793"/>
    </row>
    <row r="15" spans="1:12" x14ac:dyDescent="0.25">
      <c r="B15" s="90"/>
      <c r="C15" s="79"/>
      <c r="D15" s="79"/>
      <c r="E15" s="64" t="str">
        <f t="shared" si="1"/>
        <v xml:space="preserve"> </v>
      </c>
      <c r="G15" s="793"/>
      <c r="H15" s="793"/>
      <c r="I15" s="793"/>
      <c r="J15" s="793"/>
      <c r="K15" s="793"/>
      <c r="L15" s="793"/>
    </row>
    <row r="16" spans="1:12" ht="13.8" thickBot="1" x14ac:dyDescent="0.3">
      <c r="B16" s="91"/>
      <c r="C16" s="80"/>
      <c r="D16" s="80"/>
      <c r="E16" s="64" t="str">
        <f t="shared" si="1"/>
        <v xml:space="preserve"> </v>
      </c>
      <c r="G16" s="793"/>
      <c r="H16" s="793"/>
      <c r="I16" s="793"/>
      <c r="J16" s="793"/>
      <c r="K16" s="793"/>
      <c r="L16" s="793"/>
    </row>
    <row r="17" spans="2:12" ht="27" thickBot="1" x14ac:dyDescent="0.3">
      <c r="B17" s="103" t="s">
        <v>453</v>
      </c>
      <c r="C17" s="119">
        <f>SUM(C18:C20)</f>
        <v>60</v>
      </c>
      <c r="D17" s="119">
        <f>SUM(D18:D20)</f>
        <v>15</v>
      </c>
      <c r="E17" s="320">
        <f t="shared" si="1"/>
        <v>0.25</v>
      </c>
      <c r="G17" s="793"/>
      <c r="H17" s="793"/>
      <c r="I17" s="793"/>
      <c r="J17" s="793"/>
      <c r="K17" s="793"/>
      <c r="L17" s="793"/>
    </row>
    <row r="18" spans="2:12" x14ac:dyDescent="0.25">
      <c r="B18" s="92" t="s">
        <v>454</v>
      </c>
      <c r="C18" s="78">
        <v>30</v>
      </c>
      <c r="D18" s="78"/>
      <c r="E18" s="64">
        <f t="shared" si="1"/>
        <v>0</v>
      </c>
    </row>
    <row r="19" spans="2:12" x14ac:dyDescent="0.25">
      <c r="B19" s="90" t="s">
        <v>455</v>
      </c>
      <c r="C19" s="79">
        <v>30</v>
      </c>
      <c r="D19" s="79">
        <v>15</v>
      </c>
      <c r="E19" s="64">
        <f t="shared" si="1"/>
        <v>0.5</v>
      </c>
    </row>
    <row r="20" spans="2:12" ht="13.8" thickBot="1" x14ac:dyDescent="0.3">
      <c r="B20" s="91"/>
      <c r="C20" s="80"/>
      <c r="D20" s="80"/>
      <c r="E20" s="64" t="str">
        <f t="shared" si="1"/>
        <v xml:space="preserve"> </v>
      </c>
    </row>
    <row r="21" spans="2:12" ht="27" customHeight="1" thickBot="1" x14ac:dyDescent="0.3">
      <c r="B21" s="67" t="s">
        <v>456</v>
      </c>
      <c r="C21" s="68">
        <f>C4+C9+C13+C17</f>
        <v>680</v>
      </c>
      <c r="D21" s="68">
        <f>D4+D9+D13+D17</f>
        <v>485</v>
      </c>
      <c r="E21" s="69">
        <f>IFERROR(D21/C21," ")</f>
        <v>0.71323529411764708</v>
      </c>
    </row>
    <row r="22" spans="2:12" ht="22.2" customHeight="1" thickBot="1" x14ac:dyDescent="0.3">
      <c r="B22" s="1114" t="s">
        <v>457</v>
      </c>
      <c r="C22" s="1115"/>
      <c r="D22" s="1115"/>
      <c r="E22" s="120">
        <v>0.7</v>
      </c>
    </row>
  </sheetData>
  <sheetProtection algorithmName="SHA-512" hashValue="f8ejAQ30j5NU+OzQ3/1iJmMuQo4yFdpIuXvtHiw56+Y+wT2elRV4YLFZR8pBlFhf4RCDrITVB1vE3mwBCR3L8g==" saltValue="I4lqJ8Se8Yvd6lyl9EJNaQ==" spinCount="100000" sheet="1" objects="1" scenarios="1"/>
  <mergeCells count="2">
    <mergeCell ref="B22:D22"/>
    <mergeCell ref="G4:L17"/>
  </mergeCells>
  <conditionalFormatting sqref="E21">
    <cfRule type="containsBlanks" dxfId="182" priority="1">
      <formula>LEN(TRIM(E21))=0</formula>
    </cfRule>
    <cfRule type="cellIs" dxfId="181" priority="2" operator="equal">
      <formula>$E$22</formula>
    </cfRule>
    <cfRule type="cellIs" dxfId="180" priority="3" operator="lessThan">
      <formula>$E$22</formula>
    </cfRule>
    <cfRule type="cellIs" dxfId="179" priority="4" operator="greaterThan">
      <formula>$E$22</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N23"/>
  <sheetViews>
    <sheetView showGridLines="0" zoomScale="85" zoomScaleNormal="85" zoomScalePageLayoutView="80" workbookViewId="0">
      <selection activeCell="J31" sqref="J31"/>
    </sheetView>
  </sheetViews>
  <sheetFormatPr defaultColWidth="8.6640625" defaultRowHeight="13.2" x14ac:dyDescent="0.25"/>
  <cols>
    <col min="1" max="1" width="5.33203125" customWidth="1"/>
    <col min="2" max="2" width="23.6640625" customWidth="1"/>
    <col min="3" max="3" width="11" customWidth="1"/>
    <col min="4" max="4" width="15.6640625" customWidth="1"/>
    <col min="5" max="5" width="18.33203125" customWidth="1"/>
    <col min="6" max="6" width="16.44140625" customWidth="1"/>
    <col min="7" max="7" width="20.33203125" customWidth="1"/>
    <col min="8" max="8" width="5.33203125" customWidth="1"/>
  </cols>
  <sheetData>
    <row r="1" spans="1:14" s="128" customFormat="1" ht="26.7" customHeight="1" x14ac:dyDescent="0.25">
      <c r="A1" s="126" t="s">
        <v>458</v>
      </c>
      <c r="B1" s="127" t="s">
        <v>459</v>
      </c>
      <c r="C1" s="127"/>
      <c r="D1" s="127"/>
      <c r="E1" s="127"/>
      <c r="F1" s="127"/>
    </row>
    <row r="2" spans="1:14" ht="13.8" thickBot="1" x14ac:dyDescent="0.3"/>
    <row r="3" spans="1:14" ht="40.200000000000003" thickBot="1" x14ac:dyDescent="0.3">
      <c r="B3" s="52" t="s">
        <v>12</v>
      </c>
      <c r="C3" s="121" t="s">
        <v>460</v>
      </c>
      <c r="D3" s="162" t="s">
        <v>461</v>
      </c>
      <c r="E3" s="62" t="s">
        <v>462</v>
      </c>
      <c r="F3" s="62" t="s">
        <v>445</v>
      </c>
      <c r="G3" s="63" t="s">
        <v>463</v>
      </c>
    </row>
    <row r="4" spans="1:14" ht="25.95" customHeight="1" thickBot="1" x14ac:dyDescent="0.3">
      <c r="B4" s="88" t="s">
        <v>464</v>
      </c>
      <c r="C4" s="287" t="s">
        <v>4</v>
      </c>
      <c r="D4" s="775">
        <f>SUM(D5:D8)</f>
        <v>10</v>
      </c>
      <c r="E4" s="775">
        <f>SUM(E5:E8)</f>
        <v>5</v>
      </c>
      <c r="F4" s="776">
        <f>IFERROR(E4/D4," ")</f>
        <v>0.5</v>
      </c>
      <c r="G4" s="287" t="s">
        <v>109</v>
      </c>
      <c r="I4" s="793" t="s">
        <v>465</v>
      </c>
      <c r="J4" s="793"/>
      <c r="K4" s="793"/>
      <c r="L4" s="793"/>
      <c r="M4" s="793"/>
      <c r="N4" s="793"/>
    </row>
    <row r="5" spans="1:14" x14ac:dyDescent="0.25">
      <c r="B5" s="90" t="s">
        <v>466</v>
      </c>
      <c r="C5" s="1" t="s">
        <v>4</v>
      </c>
      <c r="D5" s="79">
        <v>10</v>
      </c>
      <c r="E5" s="79">
        <v>5</v>
      </c>
      <c r="F5" s="323">
        <f>IFERROR(E5/D5," ")</f>
        <v>0.5</v>
      </c>
      <c r="G5" s="777"/>
      <c r="I5" s="793"/>
      <c r="J5" s="793"/>
      <c r="K5" s="793"/>
      <c r="L5" s="793"/>
      <c r="M5" s="793"/>
      <c r="N5" s="793"/>
    </row>
    <row r="6" spans="1:14" x14ac:dyDescent="0.25">
      <c r="B6" s="90"/>
      <c r="C6" s="1" t="s">
        <v>4</v>
      </c>
      <c r="D6" s="79"/>
      <c r="E6" s="79"/>
      <c r="F6" s="323" t="str">
        <f t="shared" ref="F6:F21" si="0">IFERROR(E6/D6," ")</f>
        <v xml:space="preserve"> </v>
      </c>
      <c r="G6" s="777"/>
      <c r="I6" s="793"/>
      <c r="J6" s="793"/>
      <c r="K6" s="793"/>
      <c r="L6" s="793"/>
      <c r="M6" s="793"/>
      <c r="N6" s="793"/>
    </row>
    <row r="7" spans="1:14" x14ac:dyDescent="0.25">
      <c r="B7" s="90"/>
      <c r="C7" s="1" t="s">
        <v>4</v>
      </c>
      <c r="D7" s="79"/>
      <c r="E7" s="79"/>
      <c r="F7" s="323" t="str">
        <f t="shared" si="0"/>
        <v xml:space="preserve"> </v>
      </c>
      <c r="G7" s="777"/>
      <c r="I7" s="793"/>
      <c r="J7" s="793"/>
      <c r="K7" s="793"/>
      <c r="L7" s="793"/>
      <c r="M7" s="793"/>
      <c r="N7" s="793"/>
    </row>
    <row r="8" spans="1:14" ht="13.8" thickBot="1" x14ac:dyDescent="0.3">
      <c r="B8" s="90"/>
      <c r="C8" s="1" t="s">
        <v>4</v>
      </c>
      <c r="D8" s="79"/>
      <c r="E8" s="79"/>
      <c r="F8" s="323" t="str">
        <f t="shared" si="0"/>
        <v xml:space="preserve"> </v>
      </c>
      <c r="G8" s="777"/>
      <c r="I8" s="793"/>
      <c r="J8" s="793"/>
      <c r="K8" s="793"/>
      <c r="L8" s="793"/>
      <c r="M8" s="793"/>
      <c r="N8" s="793"/>
    </row>
    <row r="9" spans="1:14" ht="13.8" thickBot="1" x14ac:dyDescent="0.3">
      <c r="B9" s="88" t="s">
        <v>467</v>
      </c>
      <c r="C9" s="287" t="s">
        <v>468</v>
      </c>
      <c r="D9" s="287">
        <f>SUM(D10:D17)</f>
        <v>5</v>
      </c>
      <c r="E9" s="287">
        <f>SUM(E10:E17)</f>
        <v>5</v>
      </c>
      <c r="F9" s="322">
        <f t="shared" si="0"/>
        <v>1</v>
      </c>
      <c r="G9" s="287" t="s">
        <v>109</v>
      </c>
      <c r="I9" s="793"/>
      <c r="J9" s="793"/>
      <c r="K9" s="793"/>
      <c r="L9" s="793"/>
      <c r="M9" s="793"/>
      <c r="N9" s="793"/>
    </row>
    <row r="10" spans="1:14" x14ac:dyDescent="0.25">
      <c r="B10" s="90" t="s">
        <v>469</v>
      </c>
      <c r="C10" s="1" t="s">
        <v>470</v>
      </c>
      <c r="D10" s="79">
        <v>5</v>
      </c>
      <c r="E10" s="79">
        <v>5</v>
      </c>
      <c r="F10" s="323">
        <f t="shared" si="0"/>
        <v>1</v>
      </c>
      <c r="G10" s="777"/>
    </row>
    <row r="11" spans="1:14" x14ac:dyDescent="0.25">
      <c r="B11" s="90"/>
      <c r="C11" s="1" t="s">
        <v>470</v>
      </c>
      <c r="D11" s="79"/>
      <c r="E11" s="79"/>
      <c r="F11" s="323" t="str">
        <f t="shared" si="0"/>
        <v xml:space="preserve"> </v>
      </c>
      <c r="G11" s="777"/>
    </row>
    <row r="12" spans="1:14" x14ac:dyDescent="0.25">
      <c r="B12" s="90"/>
      <c r="C12" s="1" t="s">
        <v>470</v>
      </c>
      <c r="D12" s="79"/>
      <c r="E12" s="79"/>
      <c r="F12" s="323" t="str">
        <f t="shared" si="0"/>
        <v xml:space="preserve"> </v>
      </c>
      <c r="G12" s="777"/>
    </row>
    <row r="13" spans="1:14" x14ac:dyDescent="0.25">
      <c r="B13" s="90"/>
      <c r="C13" s="1" t="s">
        <v>470</v>
      </c>
      <c r="D13" s="79"/>
      <c r="E13" s="79"/>
      <c r="F13" s="323" t="str">
        <f t="shared" si="0"/>
        <v xml:space="preserve"> </v>
      </c>
      <c r="G13" s="777"/>
    </row>
    <row r="14" spans="1:14" x14ac:dyDescent="0.25">
      <c r="B14" s="90"/>
      <c r="C14" s="1" t="s">
        <v>470</v>
      </c>
      <c r="D14" s="79"/>
      <c r="E14" s="79"/>
      <c r="F14" s="323" t="str">
        <f t="shared" si="0"/>
        <v xml:space="preserve"> </v>
      </c>
      <c r="G14" s="777"/>
    </row>
    <row r="15" spans="1:14" x14ac:dyDescent="0.25">
      <c r="B15" s="90"/>
      <c r="C15" s="1" t="s">
        <v>470</v>
      </c>
      <c r="D15" s="79"/>
      <c r="E15" s="79"/>
      <c r="F15" s="323" t="str">
        <f t="shared" si="0"/>
        <v xml:space="preserve"> </v>
      </c>
      <c r="G15" s="777"/>
    </row>
    <row r="16" spans="1:14" x14ac:dyDescent="0.25">
      <c r="B16" s="90"/>
      <c r="C16" s="1" t="s">
        <v>470</v>
      </c>
      <c r="D16" s="79"/>
      <c r="E16" s="79"/>
      <c r="F16" s="323" t="str">
        <f t="shared" si="0"/>
        <v xml:space="preserve"> </v>
      </c>
      <c r="G16" s="777"/>
    </row>
    <row r="17" spans="2:7" ht="13.8" thickBot="1" x14ac:dyDescent="0.3">
      <c r="B17" s="90"/>
      <c r="C17" s="1" t="s">
        <v>470</v>
      </c>
      <c r="D17" s="79"/>
      <c r="E17" s="79"/>
      <c r="F17" s="323" t="str">
        <f t="shared" si="0"/>
        <v xml:space="preserve"> </v>
      </c>
      <c r="G17" s="777"/>
    </row>
    <row r="18" spans="2:7" ht="13.8" thickBot="1" x14ac:dyDescent="0.3">
      <c r="B18" s="88" t="s">
        <v>471</v>
      </c>
      <c r="C18" s="287" t="s">
        <v>468</v>
      </c>
      <c r="D18" s="287">
        <f>SUM(D19:D21)</f>
        <v>10</v>
      </c>
      <c r="E18" s="287">
        <f>SUM(E19:E21)</f>
        <v>10</v>
      </c>
      <c r="F18" s="322">
        <f t="shared" si="0"/>
        <v>1</v>
      </c>
      <c r="G18" s="287" t="s">
        <v>109</v>
      </c>
    </row>
    <row r="19" spans="2:7" x14ac:dyDescent="0.25">
      <c r="B19" s="90" t="s">
        <v>472</v>
      </c>
      <c r="C19" s="1" t="s">
        <v>470</v>
      </c>
      <c r="D19" s="79">
        <v>5</v>
      </c>
      <c r="E19" s="79">
        <v>5</v>
      </c>
      <c r="F19" s="323">
        <f t="shared" si="0"/>
        <v>1</v>
      </c>
      <c r="G19" s="777"/>
    </row>
    <row r="20" spans="2:7" x14ac:dyDescent="0.25">
      <c r="B20" s="90" t="s">
        <v>473</v>
      </c>
      <c r="C20" s="1" t="s">
        <v>470</v>
      </c>
      <c r="D20" s="79">
        <v>4</v>
      </c>
      <c r="E20" s="79">
        <v>4</v>
      </c>
      <c r="F20" s="323">
        <f t="shared" si="0"/>
        <v>1</v>
      </c>
      <c r="G20" s="777"/>
    </row>
    <row r="21" spans="2:7" ht="13.8" thickBot="1" x14ac:dyDescent="0.3">
      <c r="B21" s="91" t="s">
        <v>474</v>
      </c>
      <c r="C21" s="13" t="s">
        <v>470</v>
      </c>
      <c r="D21" s="80">
        <v>1</v>
      </c>
      <c r="E21" s="80">
        <v>1</v>
      </c>
      <c r="F21" s="323">
        <f t="shared" si="0"/>
        <v>1</v>
      </c>
      <c r="G21" s="778"/>
    </row>
    <row r="22" spans="2:7" ht="27" customHeight="1" thickBot="1" x14ac:dyDescent="0.3">
      <c r="B22" s="1116" t="s">
        <v>475</v>
      </c>
      <c r="C22" s="1117"/>
      <c r="D22" s="1117"/>
      <c r="E22" s="1118"/>
      <c r="F22" s="69">
        <f>IFERROR((F18+F9+F4)/3," ")</f>
        <v>0.83333333333333337</v>
      </c>
    </row>
    <row r="23" spans="2:7" ht="22.2" customHeight="1" thickBot="1" x14ac:dyDescent="0.3">
      <c r="B23" s="1114" t="s">
        <v>457</v>
      </c>
      <c r="C23" s="1115"/>
      <c r="D23" s="1115"/>
      <c r="E23" s="1115"/>
      <c r="F23" s="120">
        <v>0.7</v>
      </c>
    </row>
  </sheetData>
  <sheetProtection algorithmName="SHA-512" hashValue="8mjHvIzf/EtR5sMmvCfsOCfgeOGXcyQqIvq5kTxa8ko9S0R4iFvV/KdstHEHpw1AVsQZSoKVOZ8ATP3cDO/Heg==" saltValue="LBa323W24wW29BW2HekUPg==" spinCount="100000" sheet="1" objects="1" scenarios="1"/>
  <mergeCells count="3">
    <mergeCell ref="B23:E23"/>
    <mergeCell ref="B22:E22"/>
    <mergeCell ref="I4:N9"/>
  </mergeCells>
  <phoneticPr fontId="17" type="noConversion"/>
  <conditionalFormatting sqref="F22">
    <cfRule type="containsBlanks" dxfId="178" priority="1">
      <formula>LEN(TRIM(F22))=0</formula>
    </cfRule>
    <cfRule type="cellIs" dxfId="177" priority="2" operator="equal">
      <formula>$F$23</formula>
    </cfRule>
    <cfRule type="cellIs" dxfId="176" priority="3" operator="lessThan">
      <formula>$F$23</formula>
    </cfRule>
    <cfRule type="cellIs" dxfId="175" priority="4"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J43"/>
  <sheetViews>
    <sheetView showGridLines="0" zoomScale="80" zoomScaleNormal="80" zoomScalePageLayoutView="80" workbookViewId="0">
      <selection activeCell="E37" sqref="E37"/>
    </sheetView>
  </sheetViews>
  <sheetFormatPr defaultColWidth="8.6640625" defaultRowHeight="13.2" x14ac:dyDescent="0.25"/>
  <cols>
    <col min="1" max="1" width="5.33203125" customWidth="1"/>
    <col min="2" max="2" width="23.6640625" customWidth="1"/>
    <col min="3" max="4" width="21.6640625" customWidth="1"/>
    <col min="5" max="5" width="18.33203125" customWidth="1"/>
    <col min="6" max="6" width="16.44140625" customWidth="1"/>
    <col min="7" max="7" width="15.6640625" customWidth="1"/>
    <col min="8" max="8" width="24.33203125" customWidth="1"/>
    <col min="9" max="9" width="15.33203125" customWidth="1"/>
    <col min="10" max="10" width="10.33203125" customWidth="1"/>
  </cols>
  <sheetData>
    <row r="1" spans="1:8" s="128" customFormat="1" ht="26.7" customHeight="1" x14ac:dyDescent="0.25">
      <c r="A1" s="126" t="s">
        <v>476</v>
      </c>
      <c r="B1" s="127" t="s">
        <v>477</v>
      </c>
      <c r="C1" s="127"/>
      <c r="D1" s="127"/>
      <c r="E1" s="127"/>
      <c r="F1" s="127"/>
    </row>
    <row r="2" spans="1:8" ht="13.8" thickBot="1" x14ac:dyDescent="0.3"/>
    <row r="3" spans="1:8" ht="40.200000000000003" thickBot="1" x14ac:dyDescent="0.3">
      <c r="B3" s="51" t="s">
        <v>12</v>
      </c>
      <c r="C3" s="62" t="s">
        <v>443</v>
      </c>
      <c r="D3" s="62" t="s">
        <v>478</v>
      </c>
      <c r="E3" s="122" t="s">
        <v>479</v>
      </c>
      <c r="F3" s="63" t="s">
        <v>480</v>
      </c>
      <c r="G3" s="122" t="s">
        <v>481</v>
      </c>
      <c r="H3" s="123" t="s">
        <v>482</v>
      </c>
    </row>
    <row r="4" spans="1:8" ht="13.8" thickBot="1" x14ac:dyDescent="0.3">
      <c r="B4" s="103" t="s">
        <v>449</v>
      </c>
      <c r="C4" s="119">
        <f>SUM(C5:C7)</f>
        <v>98</v>
      </c>
      <c r="D4" s="119">
        <f>SUM(D5:D7)</f>
        <v>8</v>
      </c>
      <c r="E4" s="119" t="s">
        <v>483</v>
      </c>
      <c r="F4" s="124">
        <f t="shared" ref="F4:F10" si="0">IFERROR(D4/C4," ")</f>
        <v>8.1632653061224483E-2</v>
      </c>
      <c r="G4" s="119" t="s">
        <v>484</v>
      </c>
      <c r="H4" s="104" t="str">
        <f>IF(AND(D4&lt;=50, F4&lt;0.1),"sí","no")</f>
        <v>sí</v>
      </c>
    </row>
    <row r="5" spans="1:8" x14ac:dyDescent="0.25">
      <c r="B5" s="92" t="s">
        <v>485</v>
      </c>
      <c r="C5" s="78">
        <v>90</v>
      </c>
      <c r="D5" s="78">
        <v>0</v>
      </c>
      <c r="E5" s="96"/>
      <c r="F5" s="93">
        <f t="shared" si="0"/>
        <v>0</v>
      </c>
      <c r="G5" s="100"/>
      <c r="H5" s="100"/>
    </row>
    <row r="6" spans="1:8" x14ac:dyDescent="0.25">
      <c r="B6" s="90" t="s">
        <v>486</v>
      </c>
      <c r="C6" s="79">
        <v>8</v>
      </c>
      <c r="D6" s="79">
        <v>8</v>
      </c>
      <c r="E6" s="97"/>
      <c r="F6" s="94">
        <f t="shared" si="0"/>
        <v>1</v>
      </c>
      <c r="G6" s="100"/>
      <c r="H6" s="100"/>
    </row>
    <row r="7" spans="1:8" ht="13.8" thickBot="1" x14ac:dyDescent="0.3">
      <c r="B7" s="91"/>
      <c r="C7" s="80"/>
      <c r="D7" s="80"/>
      <c r="E7" s="98"/>
      <c r="F7" s="95" t="str">
        <f t="shared" si="0"/>
        <v xml:space="preserve"> </v>
      </c>
      <c r="G7" s="100"/>
      <c r="H7" s="100"/>
    </row>
    <row r="8" spans="1:8" ht="27" thickBot="1" x14ac:dyDescent="0.3">
      <c r="B8" s="103" t="s">
        <v>487</v>
      </c>
      <c r="C8" s="119">
        <f>SUM(C9:C15)</f>
        <v>10</v>
      </c>
      <c r="D8" s="119">
        <f>SUM(D9:D15)</f>
        <v>2</v>
      </c>
      <c r="E8" s="99" t="s">
        <v>488</v>
      </c>
      <c r="F8" s="124">
        <f t="shared" si="0"/>
        <v>0.2</v>
      </c>
      <c r="G8" s="103" t="s">
        <v>489</v>
      </c>
      <c r="H8" s="104" t="str">
        <f>IF(AND(D8&lt;=300, F8&lt;0.25),"sí","no")</f>
        <v>sí</v>
      </c>
    </row>
    <row r="9" spans="1:8" x14ac:dyDescent="0.25">
      <c r="B9" s="92" t="s">
        <v>490</v>
      </c>
      <c r="C9" s="78">
        <v>10</v>
      </c>
      <c r="D9" s="78">
        <v>2</v>
      </c>
      <c r="E9" s="96"/>
      <c r="F9" s="93">
        <f t="shared" si="0"/>
        <v>0.2</v>
      </c>
      <c r="G9" s="100"/>
      <c r="H9" s="100"/>
    </row>
    <row r="10" spans="1:8" x14ac:dyDescent="0.25">
      <c r="B10" s="90"/>
      <c r="C10" s="79"/>
      <c r="D10" s="79"/>
      <c r="E10" s="97"/>
      <c r="F10" s="94" t="str">
        <f t="shared" si="0"/>
        <v xml:space="preserve"> </v>
      </c>
      <c r="G10" s="100"/>
      <c r="H10" s="100"/>
    </row>
    <row r="11" spans="1:8" x14ac:dyDescent="0.25">
      <c r="B11" s="90"/>
      <c r="C11" s="79"/>
      <c r="D11" s="79"/>
      <c r="E11" s="97"/>
      <c r="F11" s="94" t="str">
        <f t="shared" ref="F11:F14" si="1">IFERROR(D11/C11," ")</f>
        <v xml:space="preserve"> </v>
      </c>
      <c r="G11" s="100"/>
      <c r="H11" s="100"/>
    </row>
    <row r="12" spans="1:8" x14ac:dyDescent="0.25">
      <c r="B12" s="90"/>
      <c r="C12" s="79"/>
      <c r="D12" s="273"/>
      <c r="E12" s="97"/>
      <c r="F12" s="94" t="str">
        <f t="shared" si="1"/>
        <v xml:space="preserve"> </v>
      </c>
      <c r="G12" s="100"/>
      <c r="H12" s="100"/>
    </row>
    <row r="13" spans="1:8" x14ac:dyDescent="0.25">
      <c r="B13" s="90"/>
      <c r="C13" s="79"/>
      <c r="D13" s="79"/>
      <c r="E13" s="97"/>
      <c r="F13" s="94" t="str">
        <f t="shared" si="1"/>
        <v xml:space="preserve"> </v>
      </c>
      <c r="G13" s="100"/>
      <c r="H13" s="100"/>
    </row>
    <row r="14" spans="1:8" x14ac:dyDescent="0.25">
      <c r="B14" s="90"/>
      <c r="C14" s="79"/>
      <c r="D14" s="79"/>
      <c r="E14" s="97"/>
      <c r="F14" s="94" t="str">
        <f t="shared" si="1"/>
        <v xml:space="preserve"> </v>
      </c>
      <c r="G14" s="100"/>
      <c r="H14" s="100"/>
    </row>
    <row r="15" spans="1:8" ht="13.8" thickBot="1" x14ac:dyDescent="0.3">
      <c r="B15" s="91"/>
      <c r="C15" s="80"/>
      <c r="D15" s="80"/>
      <c r="E15" s="98"/>
      <c r="F15" s="95" t="str">
        <f>IFERROR(D15/C15," ")</f>
        <v xml:space="preserve"> </v>
      </c>
      <c r="G15" s="101"/>
      <c r="H15" s="101"/>
    </row>
    <row r="17" spans="2:10" ht="12.45" customHeight="1" x14ac:dyDescent="0.25">
      <c r="B17" s="1119" t="s">
        <v>491</v>
      </c>
      <c r="C17" s="1119"/>
      <c r="D17" s="1119"/>
      <c r="E17" s="1119"/>
      <c r="F17" s="1119"/>
      <c r="G17" s="1119"/>
      <c r="H17" s="1119"/>
    </row>
    <row r="18" spans="2:10" x14ac:dyDescent="0.25">
      <c r="B18" s="1119"/>
      <c r="C18" s="1119"/>
      <c r="D18" s="1119"/>
      <c r="E18" s="1119"/>
      <c r="F18" s="1119"/>
      <c r="G18" s="1119"/>
      <c r="H18" s="1119"/>
    </row>
    <row r="19" spans="2:10" x14ac:dyDescent="0.25">
      <c r="B19" s="1119"/>
      <c r="C19" s="1119"/>
      <c r="D19" s="1119"/>
      <c r="E19" s="1119"/>
      <c r="F19" s="1119"/>
      <c r="G19" s="1119"/>
      <c r="H19" s="1119"/>
    </row>
    <row r="20" spans="2:10" x14ac:dyDescent="0.25">
      <c r="B20" s="1119"/>
      <c r="C20" s="1119"/>
      <c r="D20" s="1119"/>
      <c r="E20" s="1119"/>
      <c r="F20" s="1119"/>
      <c r="G20" s="1119"/>
      <c r="H20" s="1119"/>
    </row>
    <row r="22" spans="2:10" ht="13.8" thickBot="1" x14ac:dyDescent="0.3"/>
    <row r="23" spans="2:10" ht="40.200000000000003" thickBot="1" x14ac:dyDescent="0.3">
      <c r="B23" s="324" t="s">
        <v>492</v>
      </c>
      <c r="C23" s="324" t="s">
        <v>493</v>
      </c>
      <c r="D23" s="324" t="s">
        <v>494</v>
      </c>
      <c r="E23" s="324" t="s">
        <v>495</v>
      </c>
      <c r="F23" s="324" t="s">
        <v>496</v>
      </c>
      <c r="G23" s="324" t="s">
        <v>497</v>
      </c>
      <c r="H23" s="324" t="s">
        <v>498</v>
      </c>
      <c r="I23" s="324" t="s">
        <v>499</v>
      </c>
      <c r="J23" s="325" t="s">
        <v>500</v>
      </c>
    </row>
    <row r="24" spans="2:10" x14ac:dyDescent="0.25">
      <c r="B24" s="502" t="s">
        <v>501</v>
      </c>
      <c r="C24" s="309" t="s">
        <v>502</v>
      </c>
      <c r="D24" s="309" t="s">
        <v>503</v>
      </c>
      <c r="E24" s="505" t="s">
        <v>504</v>
      </c>
      <c r="F24" s="505" t="s">
        <v>504</v>
      </c>
      <c r="G24" s="505" t="s">
        <v>504</v>
      </c>
      <c r="H24" s="505" t="s">
        <v>504</v>
      </c>
      <c r="I24" s="505" t="s">
        <v>504</v>
      </c>
      <c r="J24" s="506" t="s">
        <v>505</v>
      </c>
    </row>
    <row r="25" spans="2:10" x14ac:dyDescent="0.25">
      <c r="B25" s="503" t="s">
        <v>506</v>
      </c>
      <c r="C25" s="310" t="s">
        <v>502</v>
      </c>
      <c r="D25" s="310" t="s">
        <v>503</v>
      </c>
      <c r="E25" s="507" t="s">
        <v>504</v>
      </c>
      <c r="F25" s="507" t="s">
        <v>504</v>
      </c>
      <c r="G25" s="507" t="s">
        <v>504</v>
      </c>
      <c r="H25" s="507" t="s">
        <v>507</v>
      </c>
      <c r="I25" s="507" t="s">
        <v>507</v>
      </c>
      <c r="J25" s="508" t="s">
        <v>505</v>
      </c>
    </row>
    <row r="26" spans="2:10" x14ac:dyDescent="0.25">
      <c r="B26" s="503" t="s">
        <v>508</v>
      </c>
      <c r="C26" s="310" t="s">
        <v>502</v>
      </c>
      <c r="D26" s="310" t="s">
        <v>105</v>
      </c>
      <c r="E26" s="507" t="s">
        <v>504</v>
      </c>
      <c r="F26" s="507" t="s">
        <v>504</v>
      </c>
      <c r="G26" s="507" t="s">
        <v>504</v>
      </c>
      <c r="H26" s="507" t="s">
        <v>504</v>
      </c>
      <c r="I26" s="507" t="s">
        <v>504</v>
      </c>
      <c r="J26" s="508" t="s">
        <v>314</v>
      </c>
    </row>
    <row r="27" spans="2:10" x14ac:dyDescent="0.25">
      <c r="B27" s="503"/>
      <c r="C27" s="310"/>
      <c r="D27" s="310" t="s">
        <v>509</v>
      </c>
      <c r="E27" s="507"/>
      <c r="F27" s="507"/>
      <c r="G27" s="507"/>
      <c r="H27" s="507"/>
      <c r="I27" s="507"/>
      <c r="J27" s="508"/>
    </row>
    <row r="28" spans="2:10" x14ac:dyDescent="0.25">
      <c r="B28" s="503"/>
      <c r="C28" s="310"/>
      <c r="D28" s="310"/>
      <c r="E28" s="507"/>
      <c r="F28" s="507"/>
      <c r="G28" s="507"/>
      <c r="H28" s="507"/>
      <c r="I28" s="507"/>
      <c r="J28" s="508"/>
    </row>
    <row r="29" spans="2:10" x14ac:dyDescent="0.25">
      <c r="B29" s="503"/>
      <c r="C29" s="310"/>
      <c r="D29" s="310"/>
      <c r="E29" s="507"/>
      <c r="F29" s="507"/>
      <c r="G29" s="507"/>
      <c r="H29" s="507"/>
      <c r="I29" s="507"/>
      <c r="J29" s="508"/>
    </row>
    <row r="30" spans="2:10" x14ac:dyDescent="0.25">
      <c r="B30" s="503"/>
      <c r="C30" s="310"/>
      <c r="D30" s="310"/>
      <c r="E30" s="507"/>
      <c r="F30" s="507"/>
      <c r="G30" s="507"/>
      <c r="H30" s="507"/>
      <c r="I30" s="507"/>
      <c r="J30" s="508"/>
    </row>
    <row r="31" spans="2:10" x14ac:dyDescent="0.25">
      <c r="B31" s="503"/>
      <c r="C31" s="310"/>
      <c r="D31" s="310"/>
      <c r="E31" s="507"/>
      <c r="F31" s="507"/>
      <c r="G31" s="507"/>
      <c r="H31" s="507"/>
      <c r="I31" s="507"/>
      <c r="J31" s="508"/>
    </row>
    <row r="32" spans="2:10" x14ac:dyDescent="0.25">
      <c r="B32" s="503"/>
      <c r="C32" s="310"/>
      <c r="D32" s="310"/>
      <c r="E32" s="507"/>
      <c r="F32" s="507"/>
      <c r="G32" s="507"/>
      <c r="H32" s="507"/>
      <c r="I32" s="507"/>
      <c r="J32" s="508"/>
    </row>
    <row r="33" spans="2:10" x14ac:dyDescent="0.25">
      <c r="B33" s="503"/>
      <c r="C33" s="310"/>
      <c r="D33" s="310"/>
      <c r="E33" s="507"/>
      <c r="F33" s="507"/>
      <c r="G33" s="507"/>
      <c r="H33" s="507"/>
      <c r="I33" s="507"/>
      <c r="J33" s="508"/>
    </row>
    <row r="34" spans="2:10" x14ac:dyDescent="0.25">
      <c r="B34" s="503"/>
      <c r="C34" s="310"/>
      <c r="D34" s="310"/>
      <c r="E34" s="507"/>
      <c r="F34" s="507"/>
      <c r="G34" s="507"/>
      <c r="H34" s="507"/>
      <c r="I34" s="507"/>
      <c r="J34" s="508"/>
    </row>
    <row r="35" spans="2:10" x14ac:dyDescent="0.25">
      <c r="B35" s="503"/>
      <c r="C35" s="310"/>
      <c r="D35" s="310"/>
      <c r="E35" s="507"/>
      <c r="F35" s="507"/>
      <c r="G35" s="507"/>
      <c r="H35" s="507"/>
      <c r="I35" s="507"/>
      <c r="J35" s="508"/>
    </row>
    <row r="36" spans="2:10" x14ac:dyDescent="0.25">
      <c r="B36" s="503"/>
      <c r="C36" s="310"/>
      <c r="D36" s="310"/>
      <c r="E36" s="507"/>
      <c r="F36" s="507"/>
      <c r="G36" s="507"/>
      <c r="H36" s="507"/>
      <c r="I36" s="507"/>
      <c r="J36" s="508"/>
    </row>
    <row r="37" spans="2:10" x14ac:dyDescent="0.25">
      <c r="B37" s="503"/>
      <c r="C37" s="310"/>
      <c r="D37" s="310"/>
      <c r="E37" s="507"/>
      <c r="F37" s="507"/>
      <c r="G37" s="507"/>
      <c r="H37" s="507"/>
      <c r="I37" s="507"/>
      <c r="J37" s="508"/>
    </row>
    <row r="38" spans="2:10" x14ac:dyDescent="0.25">
      <c r="B38" s="503"/>
      <c r="C38" s="310"/>
      <c r="D38" s="310"/>
      <c r="E38" s="507"/>
      <c r="F38" s="507"/>
      <c r="G38" s="507"/>
      <c r="H38" s="507"/>
      <c r="I38" s="507"/>
      <c r="J38" s="508"/>
    </row>
    <row r="39" spans="2:10" x14ac:dyDescent="0.25">
      <c r="B39" s="503"/>
      <c r="C39" s="310"/>
      <c r="D39" s="310"/>
      <c r="E39" s="507"/>
      <c r="F39" s="507"/>
      <c r="G39" s="507"/>
      <c r="H39" s="507"/>
      <c r="I39" s="507"/>
      <c r="J39" s="508"/>
    </row>
    <row r="40" spans="2:10" x14ac:dyDescent="0.25">
      <c r="B40" s="503"/>
      <c r="C40" s="310"/>
      <c r="D40" s="310"/>
      <c r="E40" s="507"/>
      <c r="F40" s="507"/>
      <c r="G40" s="507"/>
      <c r="H40" s="507"/>
      <c r="I40" s="507"/>
      <c r="J40" s="508"/>
    </row>
    <row r="41" spans="2:10" x14ac:dyDescent="0.25">
      <c r="B41" s="503"/>
      <c r="C41" s="310"/>
      <c r="D41" s="310"/>
      <c r="E41" s="507"/>
      <c r="F41" s="507"/>
      <c r="G41" s="507"/>
      <c r="H41" s="507"/>
      <c r="I41" s="507"/>
      <c r="J41" s="508"/>
    </row>
    <row r="42" spans="2:10" x14ac:dyDescent="0.25">
      <c r="B42" s="503"/>
      <c r="C42" s="310"/>
      <c r="D42" s="310"/>
      <c r="E42" s="507"/>
      <c r="F42" s="507"/>
      <c r="G42" s="507"/>
      <c r="H42" s="507"/>
      <c r="I42" s="507"/>
      <c r="J42" s="508"/>
    </row>
    <row r="43" spans="2:10" ht="13.8" thickBot="1" x14ac:dyDescent="0.3">
      <c r="B43" s="504"/>
      <c r="C43" s="311"/>
      <c r="D43" s="311"/>
      <c r="E43" s="509"/>
      <c r="F43" s="509"/>
      <c r="G43" s="509"/>
      <c r="H43" s="509"/>
      <c r="I43" s="509"/>
      <c r="J43" s="510"/>
    </row>
  </sheetData>
  <sheetProtection algorithmName="SHA-512" hashValue="NnuwDXKtaErR1onY3KGBxDzGhgxKi1q6q9G3Rn6KXBi1+soqKKxre9hbrmun4crfgZv9fFWRTye1nD4O8K62mw==" saltValue="eY3+YiJN4bS29qcNT6OkeQ==" spinCount="100000" sheet="1" objects="1" scenarios="1"/>
  <mergeCells count="1">
    <mergeCell ref="B17:H20"/>
  </mergeCells>
  <conditionalFormatting sqref="D4">
    <cfRule type="cellIs" dxfId="174" priority="10" operator="equal">
      <formula>50</formula>
    </cfRule>
    <cfRule type="cellIs" dxfId="173" priority="11" operator="lessThan">
      <formula>50</formula>
    </cfRule>
    <cfRule type="cellIs" dxfId="172" priority="12" operator="greaterThan">
      <formula>50</formula>
    </cfRule>
  </conditionalFormatting>
  <conditionalFormatting sqref="D8">
    <cfRule type="cellIs" dxfId="171" priority="7" operator="equal">
      <formula>300</formula>
    </cfRule>
    <cfRule type="cellIs" dxfId="170" priority="8" operator="lessThan">
      <formula>300</formula>
    </cfRule>
    <cfRule type="cellIs" dxfId="169" priority="9" operator="greaterThan">
      <formula>300</formula>
    </cfRule>
  </conditionalFormatting>
  <conditionalFormatting sqref="E24:I43">
    <cfRule type="containsText" dxfId="168" priority="3" operator="containsText" text="No tiene">
      <formula>NOT(ISERROR(SEARCH("No tiene",E24)))</formula>
    </cfRule>
    <cfRule type="containsText" dxfId="167" priority="4" operator="containsText" text="Tiene">
      <formula>NOT(ISERROR(SEARCH("Tiene",E24)))</formula>
    </cfRule>
  </conditionalFormatting>
  <conditionalFormatting sqref="F4">
    <cfRule type="cellIs" dxfId="166" priority="16" operator="equal">
      <formula>0.1</formula>
    </cfRule>
    <cfRule type="cellIs" dxfId="165" priority="17" operator="lessThan">
      <formula>0.1</formula>
    </cfRule>
    <cfRule type="cellIs" dxfId="164" priority="18" operator="greaterThan">
      <formula>0.1</formula>
    </cfRule>
  </conditionalFormatting>
  <conditionalFormatting sqref="F8">
    <cfRule type="cellIs" dxfId="163" priority="13" operator="lessThan">
      <formula>0.25</formula>
    </cfRule>
    <cfRule type="cellIs" dxfId="162" priority="14" operator="equal">
      <formula>0.25</formula>
    </cfRule>
    <cfRule type="cellIs" dxfId="161" priority="15" operator="greaterThan">
      <formula>0.25</formula>
    </cfRule>
  </conditionalFormatting>
  <conditionalFormatting sqref="H4 H8">
    <cfRule type="cellIs" dxfId="160" priority="5" operator="equal">
      <formula>"no"</formula>
    </cfRule>
    <cfRule type="cellIs" dxfId="159" priority="6" operator="equal">
      <formula>"sí"</formula>
    </cfRule>
  </conditionalFormatting>
  <conditionalFormatting sqref="J24:J43">
    <cfRule type="containsText" dxfId="158" priority="1" operator="containsText" text="Listo">
      <formula>NOT(ISERROR(SEARCH("Listo",J24)))</formula>
    </cfRule>
    <cfRule type="containsText" dxfId="157" priority="2" operator="containsText" text="Pendiente">
      <formula>NOT(ISERROR(SEARCH("Pendiente",J24)))</formula>
    </cfRule>
  </conditionalFormatting>
  <dataValidations count="2">
    <dataValidation type="list" allowBlank="1" showInputMessage="1" showErrorMessage="1" sqref="E24:I43" xr:uid="{739306CB-6181-4632-917F-E846B72DA32F}">
      <formula1>"Tiene,No tiene"</formula1>
    </dataValidation>
    <dataValidation type="list" allowBlank="1" showInputMessage="1" showErrorMessage="1" sqref="J24:J43" xr:uid="{109EE617-0987-4639-A3F3-310FD8CD4C57}">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5797-7FA5-44EF-A209-B0319BC3B484}">
  <dimension ref="A1:M37"/>
  <sheetViews>
    <sheetView showGridLines="0" zoomScale="80" zoomScaleNormal="80" zoomScalePageLayoutView="80" workbookViewId="0">
      <selection activeCell="G33" sqref="G33"/>
    </sheetView>
  </sheetViews>
  <sheetFormatPr defaultColWidth="8.6640625" defaultRowHeight="13.2" x14ac:dyDescent="0.25"/>
  <cols>
    <col min="1" max="1" width="5.33203125" customWidth="1"/>
    <col min="2" max="2" width="26.6640625" customWidth="1"/>
    <col min="3" max="3" width="25.33203125" customWidth="1"/>
    <col min="4" max="4" width="26.5546875" customWidth="1"/>
    <col min="5" max="5" width="16.44140625" customWidth="1"/>
    <col min="6" max="6" width="16.88671875" customWidth="1"/>
    <col min="7" max="8" width="14.6640625" customWidth="1"/>
    <col min="9" max="9" width="3.33203125" customWidth="1"/>
    <col min="10" max="10" width="35.33203125" customWidth="1"/>
    <col min="11" max="11" width="10.33203125" customWidth="1"/>
  </cols>
  <sheetData>
    <row r="1" spans="1:10" s="128" customFormat="1" ht="26.7" customHeight="1" x14ac:dyDescent="0.25">
      <c r="A1" s="126" t="s">
        <v>510</v>
      </c>
      <c r="B1" s="127" t="s">
        <v>511</v>
      </c>
      <c r="C1" s="127"/>
      <c r="D1" s="127"/>
      <c r="E1" s="127"/>
      <c r="F1" s="127"/>
      <c r="G1" s="127"/>
    </row>
    <row r="2" spans="1:10" ht="13.8" thickBot="1" x14ac:dyDescent="0.3"/>
    <row r="3" spans="1:10" ht="13.8" thickBot="1" x14ac:dyDescent="0.3">
      <c r="B3" s="288" t="s">
        <v>512</v>
      </c>
      <c r="C3" s="289"/>
      <c r="D3" s="289"/>
      <c r="E3" s="289"/>
      <c r="F3" s="289"/>
      <c r="G3" s="291"/>
      <c r="H3" s="290"/>
      <c r="J3" s="793" t="s">
        <v>513</v>
      </c>
    </row>
    <row r="4" spans="1:10" ht="43.2" customHeight="1" thickBot="1" x14ac:dyDescent="0.3">
      <c r="B4" s="295" t="s">
        <v>514</v>
      </c>
      <c r="C4" s="53" t="s">
        <v>515</v>
      </c>
      <c r="D4" s="53" t="s">
        <v>516</v>
      </c>
      <c r="E4" s="53" t="s">
        <v>517</v>
      </c>
      <c r="F4" s="53" t="s">
        <v>518</v>
      </c>
      <c r="G4" s="1124" t="s">
        <v>519</v>
      </c>
      <c r="H4" s="1125"/>
      <c r="J4" s="1123"/>
    </row>
    <row r="5" spans="1:10" x14ac:dyDescent="0.25">
      <c r="B5" s="292" t="s">
        <v>520</v>
      </c>
      <c r="C5" s="293"/>
      <c r="D5" s="293"/>
      <c r="E5" s="641" t="s">
        <v>504</v>
      </c>
      <c r="F5" s="293" t="s">
        <v>521</v>
      </c>
      <c r="G5" s="642">
        <v>0.2</v>
      </c>
      <c r="H5" s="294" t="str" cm="1">
        <f t="array" ref="H5">_xlfn.IFS(G5=0," ",G5&lt;=0.25,"Cumple COV",AND(G5&gt;0.25,F5="SI"),"No cumple COV",AND(G5&gt;0.25,F5="NO"),"Cumple COV")</f>
        <v>Cumple COV</v>
      </c>
      <c r="J5" s="1123"/>
    </row>
    <row r="6" spans="1:10" x14ac:dyDescent="0.25">
      <c r="B6" s="81"/>
      <c r="C6" s="84"/>
      <c r="D6" s="84"/>
      <c r="E6" s="643" t="s">
        <v>504</v>
      </c>
      <c r="F6" s="84" t="s">
        <v>521</v>
      </c>
      <c r="G6" s="644">
        <v>0.3</v>
      </c>
      <c r="H6" s="296" t="str" cm="1">
        <f t="array" ref="H6">_xlfn.IFS(G6=0," ",G6&lt;=0.25,"Cumple COV",AND(G6&gt;0.25,F6="SI"),"No cumple COV",AND(G6&gt;0.25,F6="NO"),"Cumple COV")</f>
        <v>No cumple COV</v>
      </c>
      <c r="J6" s="1123"/>
    </row>
    <row r="7" spans="1:10" x14ac:dyDescent="0.25">
      <c r="B7" s="81"/>
      <c r="C7" s="84"/>
      <c r="D7" s="84"/>
      <c r="E7" s="643" t="s">
        <v>504</v>
      </c>
      <c r="F7" s="84" t="s">
        <v>522</v>
      </c>
      <c r="G7" s="644">
        <v>0.3</v>
      </c>
      <c r="H7" s="296" t="str" cm="1">
        <f t="array" ref="H7">_xlfn.IFS(G7=0," ",G7&lt;=0.25,"Cumple COV",AND(G7&gt;0.25,F7="SI"),"No cumple COV",AND(G7&gt;0.25,F7="NO"),"Cumple COV")</f>
        <v>Cumple COV</v>
      </c>
      <c r="J7" s="1123"/>
    </row>
    <row r="8" spans="1:10" x14ac:dyDescent="0.25">
      <c r="B8" s="81"/>
      <c r="C8" s="84"/>
      <c r="D8" s="84"/>
      <c r="E8" s="643" t="s">
        <v>523</v>
      </c>
      <c r="F8" s="84" t="s">
        <v>521</v>
      </c>
      <c r="G8" s="644">
        <v>0.25</v>
      </c>
      <c r="H8" s="296" t="str" cm="1">
        <f t="array" ref="H8">_xlfn.IFS(G8=0," ",G8&lt;=0.25,"Cumple COV",AND(G8&gt;0.25,F8="SI"),"No cumple COV",AND(G8&gt;0.25,F8="NO"),"Cumple COV")</f>
        <v>Cumple COV</v>
      </c>
      <c r="J8" s="1123"/>
    </row>
    <row r="9" spans="1:10" x14ac:dyDescent="0.25">
      <c r="B9" s="81"/>
      <c r="C9" s="84"/>
      <c r="D9" s="84"/>
      <c r="E9" s="643"/>
      <c r="F9" s="84"/>
      <c r="G9" s="644"/>
      <c r="H9" s="296" t="str" cm="1">
        <f t="array" ref="H9">_xlfn.IFS(G9=0," ",G9&lt;=0.25,"Cumple COV",AND(G9&gt;0.25,F9="SI"),"No cumple COV",AND(G9&gt;0.25,F9="NO"),"Cumple COV")</f>
        <v xml:space="preserve"> </v>
      </c>
      <c r="J9" s="1123"/>
    </row>
    <row r="10" spans="1:10" ht="13.8" thickBot="1" x14ac:dyDescent="0.3">
      <c r="B10" s="82"/>
      <c r="C10" s="85"/>
      <c r="D10" s="85"/>
      <c r="E10" s="645"/>
      <c r="F10" s="85"/>
      <c r="G10" s="646"/>
      <c r="H10" s="297" t="str" cm="1">
        <f t="array" ref="H10">_xlfn.IFS(G10=0," ",G10&lt;=0.25,"Cumple COV",AND(G10&gt;0.25,F10="SI"),"No cumple COV",AND(G10&gt;0.25,F10="NO"),"Cumple COV")</f>
        <v xml:space="preserve"> </v>
      </c>
      <c r="J10" s="1123"/>
    </row>
    <row r="11" spans="1:10" ht="13.8" thickBot="1" x14ac:dyDescent="0.3"/>
    <row r="12" spans="1:10" ht="13.8" thickBot="1" x14ac:dyDescent="0.3">
      <c r="B12" s="288" t="s">
        <v>524</v>
      </c>
      <c r="C12" s="289"/>
      <c r="D12" s="289"/>
      <c r="E12" s="289"/>
      <c r="F12" s="289"/>
      <c r="G12" s="291"/>
      <c r="J12" s="793" t="s">
        <v>525</v>
      </c>
    </row>
    <row r="13" spans="1:10" ht="40.200000000000003" thickBot="1" x14ac:dyDescent="0.3">
      <c r="B13" s="295" t="s">
        <v>514</v>
      </c>
      <c r="C13" s="53" t="s">
        <v>515</v>
      </c>
      <c r="D13" s="53" t="s">
        <v>516</v>
      </c>
      <c r="E13" s="53" t="s">
        <v>518</v>
      </c>
      <c r="F13" s="1124" t="s">
        <v>519</v>
      </c>
      <c r="G13" s="1125"/>
      <c r="J13" s="1123"/>
    </row>
    <row r="14" spans="1:10" x14ac:dyDescent="0.25">
      <c r="B14" s="292" t="s">
        <v>526</v>
      </c>
      <c r="C14" s="293" t="s">
        <v>527</v>
      </c>
      <c r="D14" s="293" t="s">
        <v>528</v>
      </c>
      <c r="E14" s="293" t="s">
        <v>521</v>
      </c>
      <c r="F14" s="642">
        <v>0.2</v>
      </c>
      <c r="G14" s="294" t="str" cm="1">
        <f t="array" ref="G14">_xlfn.IFS(F14=0," ",F14&lt;=0.25,"Cumple COV",AND(F14&gt;0.25,E14="SI"),"No cumple COV",AND(F14&gt;0.25,E14="NO"),"Cumple COV")</f>
        <v>Cumple COV</v>
      </c>
      <c r="J14" s="1123"/>
    </row>
    <row r="15" spans="1:10" x14ac:dyDescent="0.25">
      <c r="B15" s="81"/>
      <c r="C15" s="84"/>
      <c r="D15" s="84"/>
      <c r="E15" s="84" t="s">
        <v>521</v>
      </c>
      <c r="F15" s="644">
        <v>0.3</v>
      </c>
      <c r="G15" s="296" t="str" cm="1">
        <f t="array" ref="G15">_xlfn.IFS(F15=0," ",F15&lt;=0.25,"Cumple COV",AND(F15&gt;0.25,E15="SI"),"No cumple COV",AND(F15&gt;0.25,E15="NO"),"Cumple COV")</f>
        <v>No cumple COV</v>
      </c>
      <c r="J15" s="1123"/>
    </row>
    <row r="16" spans="1:10" x14ac:dyDescent="0.25">
      <c r="B16" s="81"/>
      <c r="C16" s="84"/>
      <c r="D16" s="84"/>
      <c r="E16" s="84" t="s">
        <v>522</v>
      </c>
      <c r="F16" s="644">
        <v>0.3</v>
      </c>
      <c r="G16" s="296" t="str" cm="1">
        <f t="array" ref="G16">_xlfn.IFS(F16=0," ",F16&lt;=0.25,"Cumple COV",AND(F16&gt;0.25,E16="SI"),"No cumple COV",AND(F16&gt;0.25,E16="NO"),"Cumple COV")</f>
        <v>Cumple COV</v>
      </c>
      <c r="J16" s="1123"/>
    </row>
    <row r="17" spans="2:13" x14ac:dyDescent="0.25">
      <c r="B17" s="81"/>
      <c r="C17" s="84"/>
      <c r="D17" s="84"/>
      <c r="E17" s="84" t="s">
        <v>521</v>
      </c>
      <c r="F17" s="644">
        <v>0.25</v>
      </c>
      <c r="G17" s="296" t="str" cm="1">
        <f t="array" ref="G17">_xlfn.IFS(F17=0," ",F17&lt;=0.25,"Cumple COV",AND(F17&gt;0.25,E17="SI"),"No cumple COV",AND(F17&gt;0.25,E17="NO"),"Cumple COV")</f>
        <v>Cumple COV</v>
      </c>
      <c r="J17" s="1123"/>
    </row>
    <row r="18" spans="2:13" x14ac:dyDescent="0.25">
      <c r="B18" s="81"/>
      <c r="C18" s="84"/>
      <c r="D18" s="84"/>
      <c r="E18" s="84"/>
      <c r="F18" s="644"/>
      <c r="G18" s="296" t="str" cm="1">
        <f t="array" ref="G18">_xlfn.IFS(F18=0," ",F18&lt;=0.25,"Cumple COV",AND(F18&gt;0.25,E18="SI"),"No cumple COV",AND(F18&gt;0.25,E18="NO"),"Cumple COV")</f>
        <v xml:space="preserve"> </v>
      </c>
      <c r="J18" s="1123"/>
    </row>
    <row r="19" spans="2:13" ht="13.8" thickBot="1" x14ac:dyDescent="0.3">
      <c r="B19" s="82"/>
      <c r="C19" s="85"/>
      <c r="D19" s="85"/>
      <c r="E19" s="85"/>
      <c r="F19" s="646"/>
      <c r="G19" s="297" t="str" cm="1">
        <f t="array" ref="G19">_xlfn.IFS(F19=0," ",F19&lt;=0.25,"Cumple COV",AND(F19&gt;0.25,E19="SI"),"No cumple COV",AND(F19&gt;0.25,E19="NO"),"Cumple COV")</f>
        <v xml:space="preserve"> </v>
      </c>
      <c r="J19" s="1123"/>
    </row>
    <row r="20" spans="2:13" ht="13.8" thickBot="1" x14ac:dyDescent="0.3"/>
    <row r="21" spans="2:13" ht="13.95" customHeight="1" thickBot="1" x14ac:dyDescent="0.3">
      <c r="B21" s="1120" t="s">
        <v>529</v>
      </c>
      <c r="C21" s="1121"/>
      <c r="D21" s="1121"/>
      <c r="E21" s="1121"/>
      <c r="F21" s="1122"/>
      <c r="G21" s="289"/>
      <c r="H21" s="290"/>
      <c r="J21" s="780" t="s">
        <v>530</v>
      </c>
      <c r="K21" s="780"/>
      <c r="L21" s="780"/>
      <c r="M21" s="780"/>
    </row>
    <row r="22" spans="2:13" ht="27" thickBot="1" x14ac:dyDescent="0.3">
      <c r="B22" s="295" t="s">
        <v>514</v>
      </c>
      <c r="C22" s="53" t="s">
        <v>515</v>
      </c>
      <c r="D22" s="53" t="s">
        <v>516</v>
      </c>
      <c r="E22" s="53" t="s">
        <v>531</v>
      </c>
      <c r="F22" s="53" t="s">
        <v>532</v>
      </c>
      <c r="G22" s="53" t="s">
        <v>533</v>
      </c>
      <c r="H22" s="308" t="s">
        <v>534</v>
      </c>
      <c r="J22" s="780"/>
      <c r="K22" s="780"/>
      <c r="L22" s="780"/>
      <c r="M22" s="780"/>
    </row>
    <row r="23" spans="2:13" x14ac:dyDescent="0.25">
      <c r="B23" s="292"/>
      <c r="C23" s="293"/>
      <c r="D23" s="293"/>
      <c r="E23" s="293" t="s">
        <v>521</v>
      </c>
      <c r="F23" s="641" t="s">
        <v>504</v>
      </c>
      <c r="G23" s="641" t="s">
        <v>504</v>
      </c>
      <c r="H23" s="506"/>
      <c r="J23" s="780"/>
      <c r="K23" s="780"/>
      <c r="L23" s="780"/>
      <c r="M23" s="780"/>
    </row>
    <row r="24" spans="2:13" x14ac:dyDescent="0.25">
      <c r="B24" s="81"/>
      <c r="C24" s="84"/>
      <c r="D24" s="84"/>
      <c r="E24" s="84" t="s">
        <v>521</v>
      </c>
      <c r="F24" s="643" t="s">
        <v>504</v>
      </c>
      <c r="G24" s="643" t="s">
        <v>504</v>
      </c>
      <c r="H24" s="508"/>
      <c r="J24" s="780"/>
      <c r="K24" s="780"/>
      <c r="L24" s="780"/>
      <c r="M24" s="780"/>
    </row>
    <row r="25" spans="2:13" x14ac:dyDescent="0.25">
      <c r="B25" s="81"/>
      <c r="C25" s="84"/>
      <c r="D25" s="84"/>
      <c r="E25" s="84" t="s">
        <v>522</v>
      </c>
      <c r="F25" s="643" t="s">
        <v>504</v>
      </c>
      <c r="G25" s="643" t="s">
        <v>523</v>
      </c>
      <c r="H25" s="508"/>
      <c r="J25" s="780"/>
      <c r="K25" s="780"/>
      <c r="L25" s="780"/>
      <c r="M25" s="780"/>
    </row>
    <row r="26" spans="2:13" x14ac:dyDescent="0.25">
      <c r="B26" s="81"/>
      <c r="C26" s="84"/>
      <c r="D26" s="84"/>
      <c r="E26" s="84" t="s">
        <v>521</v>
      </c>
      <c r="F26" s="643" t="s">
        <v>523</v>
      </c>
      <c r="G26" s="643" t="s">
        <v>504</v>
      </c>
      <c r="H26" s="508"/>
      <c r="J26" s="780"/>
      <c r="K26" s="780"/>
      <c r="L26" s="780"/>
      <c r="M26" s="780"/>
    </row>
    <row r="27" spans="2:13" x14ac:dyDescent="0.25">
      <c r="B27" s="81"/>
      <c r="C27" s="84"/>
      <c r="D27" s="84"/>
      <c r="E27" s="84"/>
      <c r="F27" s="643"/>
      <c r="G27" s="643"/>
      <c r="H27" s="508"/>
      <c r="J27" s="780"/>
      <c r="K27" s="780"/>
      <c r="L27" s="780"/>
      <c r="M27" s="780"/>
    </row>
    <row r="28" spans="2:13" ht="13.8" thickBot="1" x14ac:dyDescent="0.3">
      <c r="B28" s="82"/>
      <c r="C28" s="85"/>
      <c r="D28" s="85"/>
      <c r="E28" s="85"/>
      <c r="F28" s="645"/>
      <c r="G28" s="645"/>
      <c r="H28" s="510"/>
      <c r="J28" s="780"/>
      <c r="K28" s="780"/>
      <c r="L28" s="780"/>
      <c r="M28" s="780"/>
    </row>
    <row r="29" spans="2:13" ht="13.8" thickBot="1" x14ac:dyDescent="0.3"/>
    <row r="30" spans="2:13" ht="13.2" customHeight="1" thickBot="1" x14ac:dyDescent="0.3">
      <c r="B30" s="1120" t="s">
        <v>535</v>
      </c>
      <c r="C30" s="1121"/>
      <c r="D30" s="1121"/>
      <c r="E30" s="1121"/>
      <c r="F30" s="1122"/>
      <c r="J30" s="793" t="s">
        <v>536</v>
      </c>
    </row>
    <row r="31" spans="2:13" ht="62.4" customHeight="1" thickBot="1" x14ac:dyDescent="0.3">
      <c r="B31" s="295" t="s">
        <v>514</v>
      </c>
      <c r="C31" s="53" t="s">
        <v>515</v>
      </c>
      <c r="D31" s="53" t="s">
        <v>516</v>
      </c>
      <c r="E31" s="1130" t="s">
        <v>537</v>
      </c>
      <c r="F31" s="1131"/>
      <c r="J31" s="1123"/>
    </row>
    <row r="32" spans="2:13" x14ac:dyDescent="0.25">
      <c r="B32" s="292"/>
      <c r="C32" s="293"/>
      <c r="D32" s="293"/>
      <c r="E32" s="1132" t="s">
        <v>521</v>
      </c>
      <c r="F32" s="1133"/>
      <c r="J32" s="1123"/>
    </row>
    <row r="33" spans="2:10" x14ac:dyDescent="0.25">
      <c r="B33" s="81"/>
      <c r="C33" s="84"/>
      <c r="D33" s="84"/>
      <c r="E33" s="1126" t="s">
        <v>522</v>
      </c>
      <c r="F33" s="1127"/>
      <c r="J33" s="1123"/>
    </row>
    <row r="34" spans="2:10" x14ac:dyDescent="0.25">
      <c r="B34" s="81"/>
      <c r="C34" s="84"/>
      <c r="D34" s="84"/>
      <c r="E34" s="1126" t="s">
        <v>522</v>
      </c>
      <c r="F34" s="1127"/>
      <c r="J34" s="1123"/>
    </row>
    <row r="35" spans="2:10" x14ac:dyDescent="0.25">
      <c r="B35" s="81"/>
      <c r="C35" s="84"/>
      <c r="D35" s="84"/>
      <c r="E35" s="1126" t="s">
        <v>521</v>
      </c>
      <c r="F35" s="1127"/>
      <c r="J35" s="1123"/>
    </row>
    <row r="36" spans="2:10" x14ac:dyDescent="0.25">
      <c r="B36" s="81"/>
      <c r="C36" s="84"/>
      <c r="D36" s="84"/>
      <c r="E36" s="1126"/>
      <c r="F36" s="1127"/>
      <c r="J36" s="1123"/>
    </row>
    <row r="37" spans="2:10" ht="13.8" thickBot="1" x14ac:dyDescent="0.3">
      <c r="B37" s="82"/>
      <c r="C37" s="85"/>
      <c r="D37" s="85"/>
      <c r="E37" s="1128"/>
      <c r="F37" s="1129"/>
      <c r="J37" s="1123"/>
    </row>
  </sheetData>
  <sheetProtection algorithmName="SHA-512" hashValue="qwIDUHxHa6hTtrzp9qTVzyZjt61F98Laq1FwlNOUV8K/632z4UrVsRvP5WHeichi98aYqpbGTDwlBP81W/fy/A==" saltValue="DG+l/dyGT6CdHfQfQk5dKw==" spinCount="100000" sheet="1" objects="1" scenarios="1"/>
  <mergeCells count="15">
    <mergeCell ref="J21:M28"/>
    <mergeCell ref="B21:F21"/>
    <mergeCell ref="J30:J37"/>
    <mergeCell ref="G4:H4"/>
    <mergeCell ref="F13:G13"/>
    <mergeCell ref="J3:J10"/>
    <mergeCell ref="J12:J19"/>
    <mergeCell ref="E36:F36"/>
    <mergeCell ref="E37:F37"/>
    <mergeCell ref="B30:F30"/>
    <mergeCell ref="E31:F31"/>
    <mergeCell ref="E32:F32"/>
    <mergeCell ref="E33:F33"/>
    <mergeCell ref="E34:F34"/>
    <mergeCell ref="E35:F35"/>
  </mergeCells>
  <conditionalFormatting sqref="E23:E28">
    <cfRule type="containsText" dxfId="156" priority="15" operator="containsText" text="SI">
      <formula>NOT(ISERROR(SEARCH("SI",E23)))</formula>
    </cfRule>
    <cfRule type="containsText" dxfId="155" priority="16" operator="containsText" text="No tiene">
      <formula>NOT(ISERROR(SEARCH("No tiene",E23)))</formula>
    </cfRule>
    <cfRule type="containsText" dxfId="154" priority="17" operator="containsText" text="Si tiene">
      <formula>NOT(ISERROR(SEARCH("Si tiene",E23)))</formula>
    </cfRule>
  </conditionalFormatting>
  <conditionalFormatting sqref="E32:E37">
    <cfRule type="containsText" dxfId="153" priority="1" operator="containsText" text="SI">
      <formula>NOT(ISERROR(SEARCH("SI",E32)))</formula>
    </cfRule>
    <cfRule type="containsText" dxfId="152" priority="2" operator="containsText" text="No tiene">
      <formula>NOT(ISERROR(SEARCH("No tiene",E32)))</formula>
    </cfRule>
    <cfRule type="containsText" dxfId="151" priority="3" operator="containsText" text="Si tiene">
      <formula>NOT(ISERROR(SEARCH("Si tiene",E32)))</formula>
    </cfRule>
  </conditionalFormatting>
  <conditionalFormatting sqref="E14:F19">
    <cfRule type="containsText" dxfId="150" priority="27" operator="containsText" text="SI">
      <formula>NOT(ISERROR(SEARCH("SI",E14)))</formula>
    </cfRule>
  </conditionalFormatting>
  <conditionalFormatting sqref="E5:G10 E14:F19">
    <cfRule type="containsText" dxfId="149" priority="33" operator="containsText" text="No tiene">
      <formula>NOT(ISERROR(SEARCH("No tiene",E5)))</formula>
    </cfRule>
    <cfRule type="containsText" dxfId="148" priority="34" operator="containsText" text="Si tiene">
      <formula>NOT(ISERROR(SEARCH("Si tiene",E5)))</formula>
    </cfRule>
  </conditionalFormatting>
  <conditionalFormatting sqref="F5:G10">
    <cfRule type="containsText" dxfId="147" priority="32" operator="containsText" text="SI">
      <formula>NOT(ISERROR(SEARCH("SI",F5)))</formula>
    </cfRule>
  </conditionalFormatting>
  <conditionalFormatting sqref="F23:H28">
    <cfRule type="containsText" dxfId="146" priority="21" operator="containsText" text="No tiene">
      <formula>NOT(ISERROR(SEARCH("No tiene",F23)))</formula>
    </cfRule>
    <cfRule type="containsText" dxfId="145" priority="22" operator="containsText" text="Si tiene">
      <formula>NOT(ISERROR(SEARCH("Si tiene",F23)))</formula>
    </cfRule>
  </conditionalFormatting>
  <conditionalFormatting sqref="G14:G19">
    <cfRule type="containsText" dxfId="144" priority="23" operator="containsText" text="No cumple">
      <formula>NOT(ISERROR(SEARCH("No cumple",G14)))</formula>
    </cfRule>
    <cfRule type="containsText" dxfId="143" priority="24" operator="containsText" text="Cumple">
      <formula>NOT(ISERROR(SEARCH("Cumple",G14)))</formula>
    </cfRule>
  </conditionalFormatting>
  <conditionalFormatting sqref="G32:G37">
    <cfRule type="containsText" dxfId="142" priority="6" operator="containsText" text="No tiene">
      <formula>NOT(ISERROR(SEARCH("No tiene",G32)))</formula>
    </cfRule>
    <cfRule type="containsText" dxfId="141" priority="7" operator="containsText" text="Si tiene">
      <formula>NOT(ISERROR(SEARCH("Si tiene",G32)))</formula>
    </cfRule>
  </conditionalFormatting>
  <conditionalFormatting sqref="H5:H10">
    <cfRule type="containsText" dxfId="140" priority="30" operator="containsText" text="No cumple">
      <formula>NOT(ISERROR(SEARCH("No cumple",H5)))</formula>
    </cfRule>
    <cfRule type="containsText" dxfId="139" priority="31" operator="containsText" text="Cumple">
      <formula>NOT(ISERROR(SEARCH("Cumple",H5)))</formula>
    </cfRule>
  </conditionalFormatting>
  <conditionalFormatting sqref="H23:H28">
    <cfRule type="containsText" dxfId="138" priority="18" operator="containsText" text="No cumple">
      <formula>NOT(ISERROR(SEARCH("No cumple",H23)))</formula>
    </cfRule>
    <cfRule type="containsText" dxfId="137" priority="19" operator="containsText" text="Cumple">
      <formula>NOT(ISERROR(SEARCH("Cumple",H23)))</formula>
    </cfRule>
  </conditionalFormatting>
  <dataValidations count="2">
    <dataValidation type="list" allowBlank="1" showInputMessage="1" showErrorMessage="1" sqref="F5:F10 E14:E19 E23:E28 E32:E37" xr:uid="{2C14D245-F3C3-4FB8-B8F3-58E6D2BC8F29}">
      <formula1>"SI,NO"</formula1>
    </dataValidation>
    <dataValidation type="list" allowBlank="1" showInputMessage="1" showErrorMessage="1" sqref="E5:F10 E14:E19 E23:G28 E32:E37" xr:uid="{10C0234E-B248-4538-AD43-8E1D839F8B2C}">
      <formula1>"No tiene,Si tiene"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E0F6-DCE0-41A0-A9B1-922FEEC37240}">
  <dimension ref="A1:W63"/>
  <sheetViews>
    <sheetView showGridLines="0" zoomScale="80" zoomScaleNormal="80" zoomScalePageLayoutView="80" workbookViewId="0">
      <selection activeCell="H19" sqref="H19"/>
    </sheetView>
  </sheetViews>
  <sheetFormatPr defaultColWidth="8.6640625" defaultRowHeight="13.2" x14ac:dyDescent="0.25"/>
  <cols>
    <col min="1" max="1" width="5.33203125" customWidth="1"/>
    <col min="2" max="2" width="32" customWidth="1"/>
    <col min="3" max="3" width="74.88671875" customWidth="1"/>
    <col min="4" max="4" width="26.5546875" customWidth="1"/>
    <col min="5" max="5" width="16.44140625" customWidth="1"/>
    <col min="6" max="6" width="14.6640625" customWidth="1"/>
    <col min="7" max="9" width="12.5546875" customWidth="1"/>
    <col min="10" max="10" width="14.6640625" hidden="1" customWidth="1"/>
    <col min="11" max="11" width="10.44140625" hidden="1" customWidth="1"/>
    <col min="12" max="12" width="11.33203125" hidden="1" customWidth="1"/>
    <col min="13" max="13" width="8.6640625" customWidth="1"/>
    <col min="14" max="14" width="11" customWidth="1"/>
    <col min="15" max="15" width="11.33203125" customWidth="1"/>
    <col min="16" max="16" width="14.88671875" customWidth="1"/>
    <col min="18" max="18" width="12.6640625" bestFit="1" customWidth="1"/>
    <col min="19" max="19" width="10.5546875" bestFit="1" customWidth="1"/>
    <col min="24" max="24" width="11.6640625" customWidth="1"/>
  </cols>
  <sheetData>
    <row r="1" spans="1:23" s="128" customFormat="1" ht="26.7" customHeight="1" x14ac:dyDescent="0.25">
      <c r="A1" s="126" t="s">
        <v>538</v>
      </c>
      <c r="B1" s="127" t="s">
        <v>539</v>
      </c>
      <c r="C1" s="127"/>
      <c r="D1" s="127"/>
      <c r="E1" s="127"/>
      <c r="F1" s="127"/>
      <c r="G1" s="127"/>
      <c r="H1" s="127"/>
      <c r="I1" s="127"/>
    </row>
    <row r="2" spans="1:23" ht="13.8" thickBot="1" x14ac:dyDescent="0.3"/>
    <row r="3" spans="1:23" ht="27" thickBot="1" x14ac:dyDescent="0.3">
      <c r="B3" s="288" t="s">
        <v>540</v>
      </c>
      <c r="C3" s="289"/>
      <c r="D3" s="289"/>
      <c r="E3" s="289"/>
      <c r="F3" s="289"/>
      <c r="G3" s="290"/>
      <c r="J3" s="670" t="s">
        <v>541</v>
      </c>
      <c r="P3" s="670"/>
      <c r="U3" s="670"/>
    </row>
    <row r="4" spans="1:23" ht="27" thickBot="1" x14ac:dyDescent="0.3">
      <c r="B4" s="295" t="s">
        <v>542</v>
      </c>
      <c r="C4" s="53" t="s">
        <v>543</v>
      </c>
      <c r="D4" s="53" t="s">
        <v>544</v>
      </c>
      <c r="E4" s="53" t="s">
        <v>545</v>
      </c>
      <c r="F4" s="53" t="s">
        <v>546</v>
      </c>
      <c r="G4" s="54" t="s">
        <v>547</v>
      </c>
      <c r="J4" s="657" t="s">
        <v>548</v>
      </c>
      <c r="K4" s="658" t="s">
        <v>549</v>
      </c>
      <c r="L4" s="671" t="s">
        <v>550</v>
      </c>
      <c r="P4" s="673"/>
      <c r="Q4" s="14"/>
      <c r="R4" s="674"/>
      <c r="U4" s="673"/>
      <c r="V4" s="14"/>
      <c r="W4" s="674"/>
    </row>
    <row r="5" spans="1:23" x14ac:dyDescent="0.25">
      <c r="B5" s="315" t="s">
        <v>551</v>
      </c>
      <c r="C5" s="648" t="s">
        <v>552</v>
      </c>
      <c r="D5" s="505" t="s">
        <v>553</v>
      </c>
      <c r="E5" s="682">
        <v>59.55</v>
      </c>
      <c r="F5" s="1189">
        <f>1*(E5/$E$15)</f>
        <v>0.79986568166554728</v>
      </c>
      <c r="G5" s="685">
        <v>46</v>
      </c>
      <c r="H5" s="1188"/>
      <c r="J5" s="659">
        <f t="shared" ref="J5:J10" si="0">10^(0.1*G5)</f>
        <v>39810.717055349814</v>
      </c>
      <c r="K5" s="660">
        <f t="shared" ref="K5:K10" si="1">E5/J5</f>
        <v>1.4958283699639514E-3</v>
      </c>
      <c r="L5" s="661"/>
      <c r="P5" s="675"/>
      <c r="Q5" s="676"/>
      <c r="R5" s="677"/>
      <c r="U5" s="675"/>
      <c r="V5" s="676"/>
      <c r="W5" s="677"/>
    </row>
    <row r="6" spans="1:23" ht="26.4" x14ac:dyDescent="0.25">
      <c r="B6" s="316" t="s">
        <v>554</v>
      </c>
      <c r="C6" s="649" t="s">
        <v>555</v>
      </c>
      <c r="D6" s="507" t="s">
        <v>553</v>
      </c>
      <c r="E6" s="683">
        <v>14.9</v>
      </c>
      <c r="F6" s="1190">
        <f>1*(E6/$E$15)</f>
        <v>0.20013431833445264</v>
      </c>
      <c r="G6" s="663">
        <v>47</v>
      </c>
      <c r="H6" s="1187"/>
      <c r="J6" s="659">
        <f t="shared" si="0"/>
        <v>50118.723362727294</v>
      </c>
      <c r="K6" s="660">
        <f t="shared" si="1"/>
        <v>2.9729408493036269E-4</v>
      </c>
      <c r="L6" s="661"/>
      <c r="P6" s="675"/>
      <c r="Q6" s="676"/>
      <c r="R6" s="677"/>
      <c r="U6" s="675"/>
      <c r="V6" s="676"/>
      <c r="W6" s="677"/>
    </row>
    <row r="7" spans="1:23" x14ac:dyDescent="0.25">
      <c r="B7" s="316"/>
      <c r="C7" s="649"/>
      <c r="D7" s="507"/>
      <c r="E7" s="683"/>
      <c r="F7" s="1190">
        <f t="shared" ref="F7:F10" si="2">1*(E7/$E$15)</f>
        <v>0</v>
      </c>
      <c r="G7" s="663"/>
      <c r="J7" s="659">
        <f t="shared" si="0"/>
        <v>1</v>
      </c>
      <c r="K7" s="660">
        <f t="shared" si="1"/>
        <v>0</v>
      </c>
      <c r="L7" s="661"/>
      <c r="P7" s="675"/>
      <c r="Q7" s="676"/>
      <c r="R7" s="677"/>
      <c r="U7" s="675"/>
      <c r="V7" s="676"/>
      <c r="W7" s="677"/>
    </row>
    <row r="8" spans="1:23" x14ac:dyDescent="0.25">
      <c r="B8" s="316"/>
      <c r="C8" s="649"/>
      <c r="D8" s="507"/>
      <c r="E8" s="683"/>
      <c r="F8" s="1190">
        <f t="shared" si="2"/>
        <v>0</v>
      </c>
      <c r="G8" s="663"/>
      <c r="J8" s="659">
        <f t="shared" si="0"/>
        <v>1</v>
      </c>
      <c r="K8" s="660">
        <f t="shared" si="1"/>
        <v>0</v>
      </c>
      <c r="L8" s="661"/>
      <c r="P8" s="675"/>
      <c r="Q8" s="676"/>
      <c r="R8" s="677"/>
      <c r="U8" s="675"/>
      <c r="V8" s="676"/>
      <c r="W8" s="677"/>
    </row>
    <row r="9" spans="1:23" x14ac:dyDescent="0.25">
      <c r="B9" s="316"/>
      <c r="C9" s="649"/>
      <c r="D9" s="507"/>
      <c r="E9" s="683"/>
      <c r="F9" s="1190">
        <f t="shared" si="2"/>
        <v>0</v>
      </c>
      <c r="G9" s="663"/>
      <c r="J9" s="659">
        <f t="shared" si="0"/>
        <v>1</v>
      </c>
      <c r="K9" s="660">
        <f t="shared" si="1"/>
        <v>0</v>
      </c>
      <c r="L9" s="661"/>
      <c r="P9" s="675"/>
      <c r="Q9" s="676"/>
      <c r="R9" s="677"/>
      <c r="U9" s="675"/>
      <c r="V9" s="676"/>
      <c r="W9" s="677"/>
    </row>
    <row r="10" spans="1:23" ht="13.8" thickBot="1" x14ac:dyDescent="0.3">
      <c r="B10" s="317"/>
      <c r="C10" s="649"/>
      <c r="D10" s="509"/>
      <c r="E10" s="684"/>
      <c r="F10" s="1190">
        <f t="shared" si="2"/>
        <v>0</v>
      </c>
      <c r="G10" s="664"/>
      <c r="J10" s="659">
        <f t="shared" si="0"/>
        <v>1</v>
      </c>
      <c r="K10" s="660">
        <f t="shared" si="1"/>
        <v>0</v>
      </c>
      <c r="L10" s="661"/>
      <c r="P10" s="675"/>
      <c r="Q10" s="676"/>
      <c r="R10" s="677"/>
      <c r="U10" s="675"/>
      <c r="V10" s="676"/>
      <c r="W10" s="677"/>
    </row>
    <row r="11" spans="1:23" ht="27" thickBot="1" x14ac:dyDescent="0.3">
      <c r="B11" s="162" t="s">
        <v>556</v>
      </c>
      <c r="C11" s="62" t="s">
        <v>543</v>
      </c>
      <c r="D11" s="62" t="s">
        <v>544</v>
      </c>
      <c r="E11" s="62" t="s">
        <v>545</v>
      </c>
      <c r="F11" s="62" t="s">
        <v>546</v>
      </c>
      <c r="G11" s="647" t="s">
        <v>1107</v>
      </c>
      <c r="K11" s="656"/>
      <c r="Q11" s="656"/>
      <c r="V11" s="656"/>
    </row>
    <row r="12" spans="1:23" x14ac:dyDescent="0.25">
      <c r="B12" s="315" t="s">
        <v>105</v>
      </c>
      <c r="C12" s="309" t="s">
        <v>557</v>
      </c>
      <c r="D12" s="293" t="s">
        <v>558</v>
      </c>
      <c r="E12" s="682">
        <v>18</v>
      </c>
      <c r="F12" s="312">
        <f>1*(E12/$E$15)</f>
        <v>0.241773002014775</v>
      </c>
      <c r="G12" s="685">
        <v>30</v>
      </c>
      <c r="J12" s="659">
        <f>10^(0.1*G12)</f>
        <v>1000</v>
      </c>
      <c r="K12" s="672">
        <f>E12/J12</f>
        <v>1.7999999999999999E-2</v>
      </c>
      <c r="L12" s="661"/>
      <c r="P12" s="675"/>
      <c r="Q12" s="676"/>
      <c r="R12" s="677"/>
      <c r="U12" s="675"/>
      <c r="V12" s="676"/>
      <c r="W12" s="677"/>
    </row>
    <row r="13" spans="1:23" x14ac:dyDescent="0.25">
      <c r="B13" s="316"/>
      <c r="C13" s="310"/>
      <c r="D13" s="84"/>
      <c r="E13" s="683"/>
      <c r="F13" s="313">
        <f>1*(E13/$E$15)</f>
        <v>0</v>
      </c>
      <c r="G13" s="663"/>
    </row>
    <row r="14" spans="1:23" ht="13.8" thickBot="1" x14ac:dyDescent="0.3">
      <c r="B14" s="317"/>
      <c r="C14" s="311"/>
      <c r="D14" s="85"/>
      <c r="E14" s="684"/>
      <c r="F14" s="314">
        <f>1*(E14/$E$15)</f>
        <v>0</v>
      </c>
      <c r="G14" s="664"/>
      <c r="Q14" s="678"/>
      <c r="V14" s="678"/>
    </row>
    <row r="15" spans="1:23" ht="28.95" customHeight="1" thickBot="1" x14ac:dyDescent="0.3">
      <c r="B15" s="651" t="s">
        <v>559</v>
      </c>
      <c r="C15" s="652" t="s">
        <v>1108</v>
      </c>
      <c r="D15" s="653" t="s">
        <v>560</v>
      </c>
      <c r="E15" s="654">
        <f>SUM(E5:E10)</f>
        <v>74.45</v>
      </c>
      <c r="F15" s="655">
        <f>SUM(F5:F10)</f>
        <v>0.99999999999999989</v>
      </c>
      <c r="G15" s="650">
        <f>(G5*F5)+(G6*F6)+(G7*F7)+(G8*F8)+(G9*F9)+(G10*F10)</f>
        <v>46.200134318334449</v>
      </c>
      <c r="I15" s="1187"/>
      <c r="J15" s="669"/>
      <c r="K15" s="667"/>
      <c r="L15" s="668"/>
      <c r="Q15" s="679"/>
      <c r="R15" s="680"/>
      <c r="V15" s="679"/>
      <c r="W15" s="680"/>
    </row>
    <row r="16" spans="1:23" ht="64.95" customHeight="1" x14ac:dyDescent="0.25">
      <c r="E16" s="1"/>
      <c r="I16" s="1188"/>
      <c r="J16" s="150"/>
      <c r="M16" s="1188"/>
      <c r="P16" s="44"/>
      <c r="Q16" s="15"/>
      <c r="R16" s="681"/>
      <c r="S16" s="15"/>
      <c r="T16" s="15"/>
      <c r="U16" s="15"/>
      <c r="V16" s="15"/>
      <c r="W16" s="681"/>
    </row>
    <row r="17" spans="2:23" ht="13.8" thickBot="1" x14ac:dyDescent="0.3">
      <c r="Q17" s="15"/>
      <c r="R17" s="15"/>
      <c r="S17" s="15"/>
      <c r="T17" s="15"/>
      <c r="U17" s="15"/>
      <c r="V17" s="15"/>
      <c r="W17" s="15"/>
    </row>
    <row r="18" spans="2:23" ht="27" thickBot="1" x14ac:dyDescent="0.3">
      <c r="B18" s="288" t="s">
        <v>561</v>
      </c>
      <c r="C18" s="289"/>
      <c r="D18" s="289"/>
      <c r="E18" s="290"/>
    </row>
    <row r="19" spans="2:23" ht="27" thickBot="1" x14ac:dyDescent="0.3">
      <c r="B19" s="295" t="s">
        <v>562</v>
      </c>
      <c r="C19" s="53" t="s">
        <v>543</v>
      </c>
      <c r="D19" s="53" t="s">
        <v>544</v>
      </c>
      <c r="E19" s="54" t="s">
        <v>563</v>
      </c>
    </row>
    <row r="20" spans="2:23" x14ac:dyDescent="0.25">
      <c r="B20" s="315" t="s">
        <v>564</v>
      </c>
      <c r="C20" s="293"/>
      <c r="D20" s="293"/>
      <c r="E20" s="685">
        <v>45</v>
      </c>
    </row>
    <row r="21" spans="2:23" x14ac:dyDescent="0.25">
      <c r="B21" s="316"/>
      <c r="C21" s="84"/>
      <c r="D21" s="84"/>
      <c r="E21" s="663">
        <v>60</v>
      </c>
    </row>
    <row r="22" spans="2:23" x14ac:dyDescent="0.25">
      <c r="B22" s="316"/>
      <c r="C22" s="84"/>
      <c r="D22" s="84"/>
      <c r="E22" s="663">
        <v>65</v>
      </c>
      <c r="F22" s="313"/>
    </row>
    <row r="23" spans="2:23" ht="13.8" thickBot="1" x14ac:dyDescent="0.3">
      <c r="B23" s="317"/>
      <c r="C23" s="85"/>
      <c r="D23" s="85"/>
      <c r="E23" s="664">
        <v>55</v>
      </c>
      <c r="F23" s="313"/>
    </row>
    <row r="25" spans="2:23" ht="13.8" thickBot="1" x14ac:dyDescent="0.3"/>
    <row r="26" spans="2:23" ht="13.8" thickBot="1" x14ac:dyDescent="0.3">
      <c r="B26" s="288" t="s">
        <v>565</v>
      </c>
      <c r="C26" s="289"/>
      <c r="D26" s="290"/>
    </row>
    <row r="27" spans="2:23" ht="13.8" thickBot="1" x14ac:dyDescent="0.3">
      <c r="B27" s="295" t="s">
        <v>566</v>
      </c>
      <c r="C27" s="53" t="s">
        <v>567</v>
      </c>
      <c r="D27" s="54" t="s">
        <v>568</v>
      </c>
    </row>
    <row r="28" spans="2:23" x14ac:dyDescent="0.25">
      <c r="B28" s="665" t="s">
        <v>569</v>
      </c>
      <c r="C28" s="293"/>
      <c r="D28" s="662" t="s">
        <v>570</v>
      </c>
    </row>
    <row r="29" spans="2:23" x14ac:dyDescent="0.25">
      <c r="B29" s="666" t="s">
        <v>571</v>
      </c>
      <c r="C29" s="84"/>
      <c r="D29" s="663" t="s">
        <v>572</v>
      </c>
    </row>
    <row r="30" spans="2:23" x14ac:dyDescent="0.25">
      <c r="B30" s="316"/>
      <c r="C30" s="84"/>
      <c r="D30" s="663"/>
      <c r="F30" s="313"/>
    </row>
    <row r="31" spans="2:23" ht="13.8" thickBot="1" x14ac:dyDescent="0.3">
      <c r="B31" s="317"/>
      <c r="C31" s="85"/>
      <c r="D31" s="664"/>
      <c r="F31" s="313"/>
    </row>
    <row r="59" spans="10:13" x14ac:dyDescent="0.25">
      <c r="J59" t="s">
        <v>573</v>
      </c>
      <c r="L59" t="s">
        <v>574</v>
      </c>
    </row>
    <row r="60" spans="10:13" x14ac:dyDescent="0.25">
      <c r="J60" t="s">
        <v>575</v>
      </c>
      <c r="L60" t="s">
        <v>576</v>
      </c>
    </row>
    <row r="62" spans="10:13" x14ac:dyDescent="0.25">
      <c r="M62" s="215" t="s">
        <v>577</v>
      </c>
    </row>
    <row r="63" spans="10:13" x14ac:dyDescent="0.25">
      <c r="J63" t="s">
        <v>578</v>
      </c>
      <c r="M63" s="215"/>
    </row>
  </sheetData>
  <sheetProtection algorithmName="SHA-512" hashValue="uHA/n+zkJ6LzH6F6NUQ3pIPUQr/KXT66S/G7g05dzWsuemX+wwuIVDvetOnz9z3FH4D2h6B7/NBBURLm6js5Gw==" saltValue="rnGUtDLUFV+Espar/1br+g==" spinCount="100000" sheet="1" objects="1" scenarios="1"/>
  <conditionalFormatting sqref="D28:D31">
    <cfRule type="cellIs" dxfId="136" priority="10" operator="equal">
      <formula>"Ausente"</formula>
    </cfRule>
    <cfRule type="cellIs" dxfId="135" priority="11" operator="equal">
      <formula>"Presente"</formula>
    </cfRule>
  </conditionalFormatting>
  <conditionalFormatting sqref="E20:E23">
    <cfRule type="cellIs" dxfId="134" priority="27" operator="lessThan">
      <formula>60</formula>
    </cfRule>
    <cfRule type="cellIs" dxfId="133" priority="28" operator="equal">
      <formula>60</formula>
    </cfRule>
    <cfRule type="cellIs" dxfId="132" priority="29" operator="greaterThan">
      <formula>60</formula>
    </cfRule>
  </conditionalFormatting>
  <conditionalFormatting sqref="E5:G10 F20:F23">
    <cfRule type="containsText" dxfId="131" priority="79" operator="containsText" text="No tiene">
      <formula>NOT(ISERROR(SEARCH("No tiene",E5)))</formula>
    </cfRule>
    <cfRule type="containsText" dxfId="130" priority="80" operator="containsText" text="Si tiene">
      <formula>NOT(ISERROR(SEARCH("Si tiene",E5)))</formula>
    </cfRule>
  </conditionalFormatting>
  <conditionalFormatting sqref="E12:F14">
    <cfRule type="containsText" dxfId="129" priority="19" operator="containsText" text="No tiene">
      <formula>NOT(ISERROR(SEARCH("No tiene",E12)))</formula>
    </cfRule>
    <cfRule type="containsText" dxfId="128" priority="20" operator="containsText" text="Si tiene">
      <formula>NOT(ISERROR(SEARCH("Si tiene",E12)))</formula>
    </cfRule>
  </conditionalFormatting>
  <conditionalFormatting sqref="F28:F31">
    <cfRule type="containsText" dxfId="127" priority="24" operator="containsText" text="SI">
      <formula>NOT(ISERROR(SEARCH("SI",F28)))</formula>
    </cfRule>
    <cfRule type="containsText" dxfId="126" priority="25" operator="containsText" text="No tiene">
      <formula>NOT(ISERROR(SEARCH("No tiene",F28)))</formula>
    </cfRule>
    <cfRule type="containsText" dxfId="125" priority="26" operator="containsText" text="Si tiene">
      <formula>NOT(ISERROR(SEARCH("Si tiene",F28)))</formula>
    </cfRule>
  </conditionalFormatting>
  <conditionalFormatting sqref="F5:G10 F20:F23">
    <cfRule type="containsText" dxfId="124" priority="78" operator="containsText" text="SI">
      <formula>NOT(ISERROR(SEARCH("SI",F5)))</formula>
    </cfRule>
  </conditionalFormatting>
  <conditionalFormatting sqref="F12:F14">
    <cfRule type="containsText" dxfId="123" priority="18" operator="containsText" text="SI">
      <formula>NOT(ISERROR(SEARCH("SI",F12)))</formula>
    </cfRule>
  </conditionalFormatting>
  <conditionalFormatting sqref="G5:G10">
    <cfRule type="containsBlanks" dxfId="122" priority="42">
      <formula>LEN(TRIM(G5))=0</formula>
    </cfRule>
    <cfRule type="cellIs" dxfId="121" priority="43" operator="lessThan">
      <formula>45</formula>
    </cfRule>
    <cfRule type="cellIs" dxfId="120" priority="44" operator="equal">
      <formula>45</formula>
    </cfRule>
    <cfRule type="cellIs" dxfId="119" priority="45" operator="greaterThan">
      <formula>45</formula>
    </cfRule>
    <cfRule type="containsText" dxfId="118" priority="76" operator="containsText" text="No cumple">
      <formula>NOT(ISERROR(SEARCH("No cumple",G5)))</formula>
    </cfRule>
    <cfRule type="containsText" dxfId="117" priority="77" operator="containsText" text="Cumple">
      <formula>NOT(ISERROR(SEARCH("Cumple",G5)))</formula>
    </cfRule>
  </conditionalFormatting>
  <conditionalFormatting sqref="G15">
    <cfRule type="cellIs" dxfId="113" priority="13" operator="lessThan">
      <formula>45</formula>
    </cfRule>
    <cfRule type="cellIs" dxfId="112" priority="14" operator="equal">
      <formula>45</formula>
    </cfRule>
    <cfRule type="cellIs" dxfId="111" priority="15" operator="greaterThan">
      <formula>45</formula>
    </cfRule>
  </conditionalFormatting>
  <conditionalFormatting sqref="J15">
    <cfRule type="cellIs" dxfId="110" priority="39" operator="lessThan">
      <formula>45</formula>
    </cfRule>
    <cfRule type="cellIs" dxfId="109" priority="40" operator="equal">
      <formula>45</formula>
    </cfRule>
    <cfRule type="cellIs" dxfId="108" priority="41" operator="greaterThan">
      <formula>45</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C5ECD23-F328-40A2-8E93-6061A44AA76E}">
          <x14:formula1>
            <xm:f>Datos_A7!$A$59:$A$60</xm:f>
          </x14:formula1>
          <xm:sqref>D28:D31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F79F-CE5A-44AA-98C1-6D8140A42157}">
  <dimension ref="A1:G23"/>
  <sheetViews>
    <sheetView showGridLines="0" zoomScale="90" zoomScaleNormal="90" zoomScalePageLayoutView="80" workbookViewId="0">
      <selection activeCell="I35" sqref="I35"/>
    </sheetView>
  </sheetViews>
  <sheetFormatPr defaultColWidth="8.6640625" defaultRowHeight="13.2" x14ac:dyDescent="0.25"/>
  <cols>
    <col min="1" max="1" width="5.33203125" customWidth="1"/>
    <col min="2" max="2" width="28.33203125" customWidth="1"/>
    <col min="3" max="4" width="26.33203125" customWidth="1"/>
    <col min="5" max="5" width="19" customWidth="1"/>
    <col min="6" max="6" width="16.44140625" customWidth="1"/>
    <col min="7" max="7" width="15.6640625" customWidth="1"/>
    <col min="8" max="8" width="24.33203125" customWidth="1"/>
    <col min="9" max="9" width="15.33203125" customWidth="1"/>
    <col min="10" max="10" width="10.33203125" customWidth="1"/>
  </cols>
  <sheetData>
    <row r="1" spans="1:7" s="128" customFormat="1" ht="26.7" customHeight="1" x14ac:dyDescent="0.25">
      <c r="A1" s="126" t="s">
        <v>579</v>
      </c>
      <c r="B1" s="127" t="s">
        <v>580</v>
      </c>
      <c r="C1" s="127"/>
      <c r="D1" s="127"/>
      <c r="E1" s="127"/>
      <c r="F1" s="127"/>
    </row>
    <row r="2" spans="1:7" ht="13.8" thickBot="1" x14ac:dyDescent="0.3"/>
    <row r="3" spans="1:7" ht="27" thickBot="1" x14ac:dyDescent="0.3">
      <c r="B3" s="162" t="s">
        <v>492</v>
      </c>
      <c r="C3" s="62" t="s">
        <v>493</v>
      </c>
      <c r="D3" s="62" t="s">
        <v>494</v>
      </c>
      <c r="E3" s="62" t="s">
        <v>581</v>
      </c>
      <c r="F3" s="62" t="s">
        <v>582</v>
      </c>
      <c r="G3" s="54" t="s">
        <v>500</v>
      </c>
    </row>
    <row r="4" spans="1:7" x14ac:dyDescent="0.25">
      <c r="B4" s="502" t="s">
        <v>583</v>
      </c>
      <c r="C4" s="309"/>
      <c r="D4" s="309" t="s">
        <v>584</v>
      </c>
      <c r="E4" s="293" t="s">
        <v>521</v>
      </c>
      <c r="F4" s="505" t="s">
        <v>504</v>
      </c>
      <c r="G4" s="506" t="s">
        <v>314</v>
      </c>
    </row>
    <row r="5" spans="1:7" x14ac:dyDescent="0.25">
      <c r="B5" s="503"/>
      <c r="C5" s="310"/>
      <c r="D5" s="310"/>
      <c r="E5" s="84"/>
      <c r="F5" s="507" t="s">
        <v>507</v>
      </c>
      <c r="G5" s="508" t="s">
        <v>505</v>
      </c>
    </row>
    <row r="6" spans="1:7" x14ac:dyDescent="0.25">
      <c r="B6" s="503"/>
      <c r="C6" s="310"/>
      <c r="D6" s="310"/>
      <c r="E6" s="84"/>
      <c r="F6" s="507"/>
      <c r="G6" s="508" t="s">
        <v>314</v>
      </c>
    </row>
    <row r="7" spans="1:7" x14ac:dyDescent="0.25">
      <c r="B7" s="503"/>
      <c r="C7" s="310"/>
      <c r="D7" s="310"/>
      <c r="E7" s="84"/>
      <c r="F7" s="507"/>
      <c r="G7" s="508"/>
    </row>
    <row r="8" spans="1:7" x14ac:dyDescent="0.25">
      <c r="B8" s="503"/>
      <c r="C8" s="310"/>
      <c r="D8" s="310"/>
      <c r="E8" s="84"/>
      <c r="F8" s="507"/>
      <c r="G8" s="508"/>
    </row>
    <row r="9" spans="1:7" x14ac:dyDescent="0.25">
      <c r="B9" s="503"/>
      <c r="C9" s="310"/>
      <c r="D9" s="310"/>
      <c r="E9" s="84"/>
      <c r="F9" s="507"/>
      <c r="G9" s="508"/>
    </row>
    <row r="10" spans="1:7" x14ac:dyDescent="0.25">
      <c r="B10" s="503"/>
      <c r="C10" s="310"/>
      <c r="D10" s="310"/>
      <c r="E10" s="84"/>
      <c r="F10" s="507"/>
      <c r="G10" s="508"/>
    </row>
    <row r="11" spans="1:7" x14ac:dyDescent="0.25">
      <c r="B11" s="503"/>
      <c r="C11" s="310"/>
      <c r="D11" s="310"/>
      <c r="E11" s="84"/>
      <c r="F11" s="507"/>
      <c r="G11" s="508"/>
    </row>
    <row r="12" spans="1:7" x14ac:dyDescent="0.25">
      <c r="B12" s="503"/>
      <c r="C12" s="310"/>
      <c r="D12" s="310"/>
      <c r="E12" s="84"/>
      <c r="F12" s="507"/>
      <c r="G12" s="508"/>
    </row>
    <row r="13" spans="1:7" x14ac:dyDescent="0.25">
      <c r="B13" s="503"/>
      <c r="C13" s="310"/>
      <c r="D13" s="310"/>
      <c r="E13" s="84"/>
      <c r="F13" s="507"/>
      <c r="G13" s="508"/>
    </row>
    <row r="14" spans="1:7" x14ac:dyDescent="0.25">
      <c r="B14" s="503"/>
      <c r="C14" s="310"/>
      <c r="D14" s="310"/>
      <c r="E14" s="84"/>
      <c r="F14" s="507"/>
      <c r="G14" s="508"/>
    </row>
    <row r="15" spans="1:7" x14ac:dyDescent="0.25">
      <c r="B15" s="503"/>
      <c r="C15" s="310"/>
      <c r="D15" s="310"/>
      <c r="E15" s="84"/>
      <c r="F15" s="507"/>
      <c r="G15" s="508"/>
    </row>
    <row r="16" spans="1:7" x14ac:dyDescent="0.25">
      <c r="B16" s="503"/>
      <c r="C16" s="310"/>
      <c r="D16" s="310"/>
      <c r="E16" s="84"/>
      <c r="F16" s="507"/>
      <c r="G16" s="508"/>
    </row>
    <row r="17" spans="2:7" x14ac:dyDescent="0.25">
      <c r="B17" s="503"/>
      <c r="C17" s="310"/>
      <c r="D17" s="310"/>
      <c r="E17" s="84"/>
      <c r="F17" s="507"/>
      <c r="G17" s="508"/>
    </row>
    <row r="18" spans="2:7" x14ac:dyDescent="0.25">
      <c r="B18" s="503"/>
      <c r="C18" s="310"/>
      <c r="D18" s="310"/>
      <c r="E18" s="84"/>
      <c r="F18" s="507"/>
      <c r="G18" s="508"/>
    </row>
    <row r="19" spans="2:7" x14ac:dyDescent="0.25">
      <c r="B19" s="503"/>
      <c r="C19" s="310"/>
      <c r="D19" s="310"/>
      <c r="E19" s="84"/>
      <c r="F19" s="507"/>
      <c r="G19" s="508"/>
    </row>
    <row r="20" spans="2:7" x14ac:dyDescent="0.25">
      <c r="B20" s="503"/>
      <c r="C20" s="310"/>
      <c r="D20" s="310"/>
      <c r="E20" s="84"/>
      <c r="F20" s="507"/>
      <c r="G20" s="508"/>
    </row>
    <row r="21" spans="2:7" x14ac:dyDescent="0.25">
      <c r="B21" s="503"/>
      <c r="C21" s="310"/>
      <c r="D21" s="310"/>
      <c r="E21" s="84"/>
      <c r="F21" s="507"/>
      <c r="G21" s="508"/>
    </row>
    <row r="22" spans="2:7" x14ac:dyDescent="0.25">
      <c r="B22" s="503"/>
      <c r="C22" s="310"/>
      <c r="D22" s="310"/>
      <c r="E22" s="84"/>
      <c r="F22" s="507"/>
      <c r="G22" s="508"/>
    </row>
    <row r="23" spans="2:7" ht="13.8" thickBot="1" x14ac:dyDescent="0.3">
      <c r="B23" s="504"/>
      <c r="C23" s="311"/>
      <c r="D23" s="311"/>
      <c r="E23" s="85"/>
      <c r="F23" s="509"/>
      <c r="G23" s="510"/>
    </row>
  </sheetData>
  <sheetProtection algorithmName="SHA-512" hashValue="k8K4eRx9SLvnnivF5hrWqkFvNIzq/C0rItNWXMUBXOGXBzfIGrI9GaM6strdtr8LCXSiXwmeagvNrO9Vs2E7hw==" saltValue="6CBEs05NFANpolVyJdX8gg==" spinCount="100000" sheet="1" objects="1" scenarios="1"/>
  <conditionalFormatting sqref="E4:E23">
    <cfRule type="containsText" dxfId="107" priority="1" operator="containsText" text="SI">
      <formula>NOT(ISERROR(SEARCH("SI",E4)))</formula>
    </cfRule>
    <cfRule type="containsText" dxfId="106" priority="3" operator="containsText" text="Si tiene">
      <formula>NOT(ISERROR(SEARCH("Si tiene",E4)))</formula>
    </cfRule>
  </conditionalFormatting>
  <conditionalFormatting sqref="E4:F23">
    <cfRule type="containsText" dxfId="105" priority="2" operator="containsText" text="No tiene">
      <formula>NOT(ISERROR(SEARCH("No tiene",E4)))</formula>
    </cfRule>
  </conditionalFormatting>
  <conditionalFormatting sqref="F4:F23">
    <cfRule type="containsText" dxfId="104" priority="5" operator="containsText" text="Tiene">
      <formula>NOT(ISERROR(SEARCH("Tiene",F4)))</formula>
    </cfRule>
  </conditionalFormatting>
  <conditionalFormatting sqref="G4:G23">
    <cfRule type="containsText" dxfId="103" priority="6" operator="containsText" text="Listo">
      <formula>NOT(ISERROR(SEARCH("Listo",G4)))</formula>
    </cfRule>
    <cfRule type="containsText" dxfId="102" priority="7" operator="containsText" text="Pendiente">
      <formula>NOT(ISERROR(SEARCH("Pendiente",G4)))</formula>
    </cfRule>
  </conditionalFormatting>
  <conditionalFormatting sqref="H4:I23">
    <cfRule type="containsText" dxfId="101" priority="13" operator="containsText" text="No tiene">
      <formula>NOT(ISERROR(SEARCH("No tiene",H4)))</formula>
    </cfRule>
    <cfRule type="containsText" dxfId="100" priority="14" operator="containsText" text="Tiene">
      <formula>NOT(ISERROR(SEARCH("Tiene",H4)))</formula>
    </cfRule>
  </conditionalFormatting>
  <conditionalFormatting sqref="J4:J23">
    <cfRule type="containsText" dxfId="99" priority="11" operator="containsText" text="Listo">
      <formula>NOT(ISERROR(SEARCH("Listo",J4)))</formula>
    </cfRule>
    <cfRule type="containsText" dxfId="98" priority="12" operator="containsText" text="Pendiente">
      <formula>NOT(ISERROR(SEARCH("Pendiente",J4)))</formula>
    </cfRule>
  </conditionalFormatting>
  <dataValidations count="3">
    <dataValidation type="list" allowBlank="1" showInputMessage="1" showErrorMessage="1" sqref="J21:J23 G4:G23" xr:uid="{8EAD343C-7851-4DD9-856E-6DDEB554B58C}">
      <formula1>"Listo,Pendiente"</formula1>
    </dataValidation>
    <dataValidation type="list" allowBlank="1" showInputMessage="1" showErrorMessage="1" sqref="F4:F23 H21:I23" xr:uid="{BB60747F-CC96-4BDE-98B6-6128224407E9}">
      <formula1>"Tiene,No tiene"</formula1>
    </dataValidation>
    <dataValidation type="list" allowBlank="1" showInputMessage="1" showErrorMessage="1" sqref="E4:E23" xr:uid="{C5C06E6A-01E0-47B6-81D6-21D7268B1471}">
      <formula1>"SI,NO"</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B1:T141"/>
  <sheetViews>
    <sheetView showGridLines="0" topLeftCell="A40" zoomScaleNormal="100" zoomScalePageLayoutView="80" workbookViewId="0">
      <selection activeCell="D49" sqref="D49"/>
    </sheetView>
  </sheetViews>
  <sheetFormatPr defaultColWidth="11.6640625" defaultRowHeight="13.2" x14ac:dyDescent="0.25"/>
  <cols>
    <col min="1" max="1" width="2.33203125" style="170" customWidth="1"/>
    <col min="2" max="2" width="14.88671875" style="170" customWidth="1"/>
    <col min="3" max="3" width="37.88671875" customWidth="1"/>
    <col min="4" max="4" width="28.44140625" style="170" customWidth="1"/>
    <col min="5" max="5" width="26.6640625" style="170" customWidth="1"/>
    <col min="6" max="6" width="4.33203125" style="170" customWidth="1"/>
    <col min="7" max="7" width="23.5546875" style="170" hidden="1" customWidth="1"/>
    <col min="8" max="8" width="25.6640625" style="170" hidden="1" customWidth="1"/>
    <col min="9" max="9" width="11.6640625" style="170" customWidth="1"/>
    <col min="10" max="10" width="53.6640625" style="170" customWidth="1"/>
    <col min="11" max="11" width="28.6640625" style="170" customWidth="1"/>
    <col min="12" max="12" width="25.33203125" style="170" hidden="1" customWidth="1"/>
    <col min="13" max="14" width="18" style="170" hidden="1" customWidth="1"/>
    <col min="15" max="15" width="11.6640625" style="170" hidden="1" customWidth="1"/>
    <col min="16" max="16" width="21" style="170" hidden="1" customWidth="1"/>
    <col min="17" max="17" width="15.6640625" style="170" hidden="1" customWidth="1"/>
    <col min="18" max="18" width="14.44140625" style="170" hidden="1" customWidth="1"/>
    <col min="19" max="19" width="15.33203125" style="170" hidden="1" customWidth="1"/>
    <col min="20" max="20" width="11.6640625" style="170" hidden="1" customWidth="1"/>
    <col min="21" max="21" width="11.6640625" style="170" customWidth="1"/>
    <col min="22" max="16384" width="11.6640625" style="170"/>
  </cols>
  <sheetData>
    <row r="1" spans="2:14" s="344" customFormat="1" ht="26.7" customHeight="1" x14ac:dyDescent="0.25">
      <c r="B1" s="345" t="s">
        <v>585</v>
      </c>
      <c r="C1" s="127" t="s">
        <v>586</v>
      </c>
      <c r="D1" s="346"/>
      <c r="E1" s="346"/>
      <c r="F1" s="346"/>
      <c r="G1" s="346"/>
      <c r="H1" s="346"/>
      <c r="I1" s="346"/>
      <c r="J1" s="346"/>
    </row>
    <row r="2" spans="2:14" ht="13.8" thickBot="1" x14ac:dyDescent="0.3">
      <c r="K2" s="414"/>
      <c r="L2" s="414"/>
      <c r="M2" s="414"/>
    </row>
    <row r="3" spans="2:14" ht="13.5" customHeight="1" thickBot="1" x14ac:dyDescent="0.3">
      <c r="C3" s="2" t="s">
        <v>587</v>
      </c>
      <c r="D3" s="77">
        <v>90</v>
      </c>
      <c r="E3" s="466" t="s">
        <v>588</v>
      </c>
      <c r="F3" s="347"/>
      <c r="G3" s="347"/>
      <c r="I3" s="347"/>
      <c r="J3" s="618" t="s">
        <v>589</v>
      </c>
      <c r="K3" s="618"/>
      <c r="L3" s="461"/>
      <c r="M3" s="461"/>
      <c r="N3" s="461"/>
    </row>
    <row r="4" spans="2:14" ht="13.8" thickBot="1" x14ac:dyDescent="0.3">
      <c r="C4" s="2" t="s">
        <v>6</v>
      </c>
      <c r="D4" s="465">
        <f>'A1'!C4</f>
        <v>80</v>
      </c>
      <c r="E4" s="467"/>
      <c r="F4" s="347"/>
      <c r="G4" s="347"/>
      <c r="I4" s="347"/>
      <c r="J4" s="458"/>
      <c r="K4" s="459"/>
      <c r="L4" s="459"/>
      <c r="M4" s="459"/>
      <c r="N4" s="458"/>
    </row>
    <row r="5" spans="2:14" ht="13.8" thickBot="1" x14ac:dyDescent="0.3">
      <c r="G5" s="347"/>
      <c r="H5" s="347"/>
      <c r="I5" s="347"/>
      <c r="J5" s="458"/>
      <c r="K5" s="460"/>
      <c r="L5" s="460"/>
      <c r="M5" s="460"/>
      <c r="N5" s="458"/>
    </row>
    <row r="6" spans="2:14" ht="29.7" customHeight="1" thickBot="1" x14ac:dyDescent="0.3">
      <c r="C6" s="608" t="s">
        <v>590</v>
      </c>
      <c r="D6" s="607" t="s">
        <v>591</v>
      </c>
      <c r="E6" s="468" t="str" cm="1">
        <f t="array" ref="E6">IFERROR(_xlfn.IFS(D6=Colector.solar[[#Headers],[Colector.solar]],"Opción 2",D6=Sistema.Fotovoltaico[[#Headers],[Sistema.Fotovoltaico]],"Opción 1",D6=Otros.sistemas[[#Headers],[Otros.sistemas]],"Opción 3",D6=Otros.sistemas[[#Headers],[Mixto]],"Opción 4"),"Desplegar energético")</f>
        <v>Opción 1</v>
      </c>
      <c r="J6" s="1157" t="s">
        <v>592</v>
      </c>
      <c r="K6" s="1157"/>
      <c r="L6" s="461"/>
      <c r="M6" s="461"/>
      <c r="N6" s="461"/>
    </row>
    <row r="7" spans="2:14" ht="13.2" customHeight="1" thickBot="1" x14ac:dyDescent="0.3">
      <c r="C7" s="71" t="s">
        <v>593</v>
      </c>
      <c r="D7" s="275" t="s">
        <v>594</v>
      </c>
      <c r="E7" s="415" t="str" cm="1">
        <f t="array" ref="E7">_xlfn.IFS(E6="Opción 1","-",E6="Opción 2","-",E6="Opción 3","-",E6="Opción 4","Seleccionar solo Opciones FV")</f>
        <v>-</v>
      </c>
      <c r="J7" s="618" t="s">
        <v>595</v>
      </c>
      <c r="K7" s="618"/>
      <c r="L7" s="461"/>
      <c r="M7" s="461"/>
      <c r="N7" s="461"/>
    </row>
    <row r="8" spans="2:14" ht="13.2" customHeight="1" thickBot="1" x14ac:dyDescent="0.3">
      <c r="C8" s="71" t="s">
        <v>596</v>
      </c>
      <c r="D8" s="779" t="s">
        <v>597</v>
      </c>
      <c r="E8" s="468" t="str">
        <f>IF(E6="Opción 4","-","Habilitado solo para Opción 4")</f>
        <v>Habilitado solo para Opción 4</v>
      </c>
      <c r="J8" s="618" t="s">
        <v>598</v>
      </c>
      <c r="K8" s="618"/>
      <c r="L8" s="461"/>
      <c r="M8" s="461"/>
      <c r="N8" s="461"/>
    </row>
    <row r="9" spans="2:14" ht="13.8" thickBot="1" x14ac:dyDescent="0.3">
      <c r="C9" s="71" t="s">
        <v>599</v>
      </c>
      <c r="D9" s="469" t="str" cm="1">
        <f t="array" ref="D9">IFERROR(_xlfn.IFS(D7=$P$133,"Requiere Compensación",D7=$P$134,"Sin Compensación",D7=$P$128,"Requiere Compensación",D7=$P$129,"Sin Compensación"),"Justificación mediante Memoria de Cálculo")</f>
        <v>Sin Compensación</v>
      </c>
      <c r="E9" s="457"/>
      <c r="K9" s="354"/>
      <c r="L9" s="354"/>
      <c r="M9" s="354"/>
    </row>
    <row r="10" spans="2:14" ht="13.2" hidden="1" customHeight="1" thickBot="1" x14ac:dyDescent="0.3">
      <c r="C10" s="485"/>
      <c r="D10" s="276"/>
      <c r="E10" s="276"/>
      <c r="K10" s="353"/>
      <c r="L10" s="353"/>
      <c r="M10" s="353"/>
    </row>
    <row r="11" spans="2:14" s="414" customFormat="1" x14ac:dyDescent="0.25">
      <c r="C11" s="486"/>
      <c r="D11" s="276"/>
      <c r="E11" s="276"/>
      <c r="K11" s="422"/>
      <c r="L11" s="422"/>
      <c r="M11" s="422"/>
    </row>
    <row r="12" spans="2:14" ht="22.2" customHeight="1" thickBot="1" x14ac:dyDescent="0.3">
      <c r="C12" s="487" t="s">
        <v>600</v>
      </c>
      <c r="D12" s="417"/>
      <c r="E12" s="417"/>
      <c r="K12" s="354"/>
      <c r="L12" s="354"/>
      <c r="M12" s="354"/>
    </row>
    <row r="13" spans="2:14" ht="22.2" customHeight="1" thickBot="1" x14ac:dyDescent="0.3">
      <c r="C13" s="488"/>
      <c r="D13" s="418"/>
      <c r="E13" s="418"/>
      <c r="K13" s="353"/>
      <c r="L13" s="353"/>
      <c r="M13" s="353"/>
    </row>
    <row r="14" spans="2:14" ht="22.2" customHeight="1" thickBot="1" x14ac:dyDescent="0.3">
      <c r="B14" s="1156" t="s">
        <v>601</v>
      </c>
      <c r="C14" s="489" t="s">
        <v>602</v>
      </c>
      <c r="J14" s="618" t="s">
        <v>601</v>
      </c>
      <c r="K14" s="618"/>
      <c r="L14" s="461"/>
      <c r="M14" s="461"/>
      <c r="N14" s="461"/>
    </row>
    <row r="15" spans="2:14" ht="13.5" customHeight="1" thickBot="1" x14ac:dyDescent="0.3">
      <c r="B15" s="1154"/>
      <c r="C15" s="2" t="s">
        <v>603</v>
      </c>
      <c r="D15" s="501">
        <v>1.95</v>
      </c>
      <c r="E15" s="470" t="str" cm="1">
        <f t="array" ref="E15">IFERROR(_xlfn.IFS(E6="Opción 2","-",E6="Opción 1","m2",E6="Opción 3","-",E6="Opción 4","-"),"Desplegar energético")</f>
        <v>m2</v>
      </c>
      <c r="J15" s="618" t="s">
        <v>604</v>
      </c>
      <c r="K15" s="618"/>
      <c r="L15" s="461"/>
      <c r="M15" s="461"/>
      <c r="N15" s="461"/>
    </row>
    <row r="16" spans="2:14" ht="13.2" customHeight="1" thickBot="1" x14ac:dyDescent="0.3">
      <c r="B16" s="1154"/>
      <c r="C16" s="2" t="s">
        <v>605</v>
      </c>
      <c r="D16" s="77">
        <v>3</v>
      </c>
      <c r="E16" s="470" t="str" cm="1">
        <f t="array" ref="E16">IFERROR(_xlfn.IFS(E6="Opción 2","-",E6="Opción 1","unidad",E6="Opción 3","-",E6="Opción 4","-"),"Desplegar energético")</f>
        <v>unidad</v>
      </c>
      <c r="J16" s="618" t="s">
        <v>606</v>
      </c>
      <c r="K16" s="618"/>
      <c r="L16" s="461"/>
      <c r="M16" s="461"/>
      <c r="N16" s="461"/>
    </row>
    <row r="17" spans="2:14" ht="13.8" thickBot="1" x14ac:dyDescent="0.3">
      <c r="B17" s="1154"/>
      <c r="C17" s="2" t="s">
        <v>607</v>
      </c>
      <c r="D17" s="463">
        <f>D15*D16</f>
        <v>5.85</v>
      </c>
      <c r="E17" s="471" t="str" cm="1">
        <f t="array" ref="E17">IFERROR(_xlfn.IFS(E6="Opción 2","-",E6="Opción 1","m2",E6="Opción 3","-",E6="Opción 4","-"),"Desplegar energético")</f>
        <v>m2</v>
      </c>
      <c r="K17" s="353"/>
      <c r="L17" s="353"/>
      <c r="M17" s="353"/>
    </row>
    <row r="18" spans="2:14" ht="13.2" customHeight="1" thickBot="1" x14ac:dyDescent="0.3">
      <c r="B18" s="1154"/>
      <c r="C18" s="2" t="s">
        <v>608</v>
      </c>
      <c r="D18" s="77" t="s">
        <v>609</v>
      </c>
      <c r="E18" s="470" t="str" cm="1">
        <f t="array" ref="E18">IF(E6=B14,_xlfn.IFS(D18=Q107,"Aplica Excepción 50%",D18=P107,"N/A Excepción "),"-")</f>
        <v xml:space="preserve">N/A Excepción </v>
      </c>
      <c r="J18" s="618" t="s">
        <v>610</v>
      </c>
      <c r="K18" s="618"/>
      <c r="L18" s="461"/>
      <c r="M18" s="461"/>
      <c r="N18" s="461"/>
    </row>
    <row r="19" spans="2:14" s="414" customFormat="1" ht="13.2" customHeight="1" thickBot="1" x14ac:dyDescent="0.3">
      <c r="B19" s="1154"/>
      <c r="C19" s="490"/>
      <c r="D19" s="277"/>
      <c r="E19" s="419"/>
      <c r="K19" s="422"/>
      <c r="L19" s="422"/>
      <c r="M19" s="422"/>
    </row>
    <row r="20" spans="2:14" s="354" customFormat="1" ht="25.2" customHeight="1" thickBot="1" x14ac:dyDescent="0.3">
      <c r="B20" s="1154"/>
      <c r="C20" s="491" t="s">
        <v>611</v>
      </c>
      <c r="D20" s="472" cm="1">
        <f t="array" ref="D20">IFERROR(_xlfn.IFS($D$7=$P$121,$D$4*$Q$121,$D$7=$P$122,$D$4*$Q$122,$D$6=Colector.solar[[#Headers],[Colector.solar]],"N/A",$D$6=Colector.solar[[#Headers],[Colector.solar]],"N/A"),"N/A")</f>
        <v>0.8</v>
      </c>
      <c r="E20" s="473" t="str" cm="1">
        <f t="array" ref="E20">IFERROR(_xlfn.IFS($E$6="Opción 2","N/A",$E$6="Opción 1","kWp",$E$6="Opción 3","N/A",$E$6="Opción 4","N/A"),"Desplegar energético")</f>
        <v>kWp</v>
      </c>
      <c r="F20" s="353"/>
    </row>
    <row r="21" spans="2:14" ht="13.2" customHeight="1" x14ac:dyDescent="0.25">
      <c r="B21" s="1154"/>
      <c r="F21" s="347"/>
    </row>
    <row r="22" spans="2:14" ht="13.8" thickBot="1" x14ac:dyDescent="0.3">
      <c r="B22" s="1154"/>
      <c r="C22" s="487" t="s">
        <v>612</v>
      </c>
      <c r="D22" s="417"/>
      <c r="E22" s="417"/>
      <c r="F22" s="347"/>
    </row>
    <row r="23" spans="2:14" ht="13.2" customHeight="1" thickBot="1" x14ac:dyDescent="0.3">
      <c r="B23" s="1154"/>
      <c r="C23" s="464" t="s">
        <v>613</v>
      </c>
      <c r="D23" s="77">
        <v>0.42299999999999999</v>
      </c>
      <c r="E23" s="473" t="str" cm="1">
        <f t="array" ref="E23">IFERROR(_xlfn.IFS(E6="Opción 2","-",E6="Opción 1","kWp",E6="Opción 3","-",E6="Opción 4","-"),"Desplegar energético")</f>
        <v>kWp</v>
      </c>
      <c r="F23" s="347"/>
      <c r="J23" s="618" t="s">
        <v>614</v>
      </c>
      <c r="K23" s="618"/>
      <c r="L23" s="461"/>
      <c r="M23" s="461"/>
      <c r="N23" s="461"/>
    </row>
    <row r="24" spans="2:14" ht="13.8" thickBot="1" x14ac:dyDescent="0.3">
      <c r="B24" s="1154"/>
      <c r="C24" s="474" t="s">
        <v>615</v>
      </c>
      <c r="D24" s="473">
        <f>$D$23*$D$16</f>
        <v>1.2689999999999999</v>
      </c>
      <c r="E24" s="473" t="str" cm="1">
        <f t="array" ref="E24">IFERROR(_xlfn.IFS(E6="Opción 2","-",E6="Opción 1","kWp",E6="Opción 3","-",E6="Opción 4","-"),"Desplegar energético")</f>
        <v>kWp</v>
      </c>
      <c r="F24" s="421"/>
    </row>
    <row r="25" spans="2:14" ht="13.8" thickBot="1" x14ac:dyDescent="0.3">
      <c r="B25" s="1154"/>
      <c r="C25" s="373"/>
      <c r="D25" s="422"/>
      <c r="E25" s="422"/>
      <c r="F25" s="421"/>
    </row>
    <row r="26" spans="2:14" s="423" customFormat="1" ht="13.2" customHeight="1" thickBot="1" x14ac:dyDescent="0.3">
      <c r="B26" s="1154"/>
      <c r="C26" s="1158" t="s">
        <v>616</v>
      </c>
      <c r="D26" s="1160" t="s">
        <v>617</v>
      </c>
      <c r="E26" s="1161"/>
      <c r="N26" s="354"/>
    </row>
    <row r="27" spans="2:14" s="414" customFormat="1" ht="22.2" customHeight="1" thickBot="1" x14ac:dyDescent="0.3">
      <c r="B27" s="1154"/>
      <c r="C27" s="1159"/>
      <c r="D27" s="475" t="s">
        <v>618</v>
      </c>
      <c r="E27" s="476" t="str" cm="1">
        <f t="array" ref="E27">IF(E6=B14,_xlfn.IFS(D24=$D$20,"Cumple",D24&gt;$D$20,"Cumple",D24=0,"N/A",D24&lt;$D$20,"No",D27=50%,"Cumple"),"N/A")</f>
        <v>Cumple</v>
      </c>
      <c r="H27" s="276" t="s">
        <v>619</v>
      </c>
      <c r="J27" s="1157" t="s">
        <v>620</v>
      </c>
      <c r="K27" s="1157"/>
      <c r="L27" s="1157"/>
      <c r="M27" s="1157"/>
      <c r="N27" s="1157"/>
    </row>
    <row r="28" spans="2:14" s="414" customFormat="1" ht="27" customHeight="1" thickBot="1" x14ac:dyDescent="0.3">
      <c r="B28" s="1154"/>
      <c r="C28" s="1159"/>
      <c r="D28" s="475" t="str" cm="1">
        <f t="array" ref="D28">_xlfn.IFS(D18=Q107,"Aplica Excepción 50%",D18=P107,"N/A Excepción ")</f>
        <v xml:space="preserve">N/A Excepción </v>
      </c>
      <c r="E28" s="476" t="str" cm="1">
        <f t="array" ref="E28">IF(E6=B14,IF(D18=P107,"N/A",_xlfn.IFS(H28=50%,"Cumple",H28&gt;50%,"Cumple",H28&lt;50%,"No cumple")),"N/A")</f>
        <v>N/A</v>
      </c>
      <c r="H28" s="425">
        <f>D17/D3</f>
        <v>6.5000000000000002E-2</v>
      </c>
      <c r="J28" s="1157"/>
      <c r="K28" s="1157"/>
      <c r="L28" s="1157"/>
      <c r="M28" s="1157"/>
      <c r="N28" s="1157"/>
    </row>
    <row r="29" spans="2:14" s="414" customFormat="1" ht="13.2" customHeight="1" thickBot="1" x14ac:dyDescent="0.3">
      <c r="B29" s="1154"/>
      <c r="C29" s="373"/>
      <c r="D29" s="422"/>
      <c r="E29" s="422"/>
      <c r="H29" s="276"/>
    </row>
    <row r="30" spans="2:14" s="414" customFormat="1" ht="25.2" customHeight="1" thickTop="1" thickBot="1" x14ac:dyDescent="0.3">
      <c r="B30" s="1154"/>
      <c r="C30" s="1147" t="s">
        <v>621</v>
      </c>
      <c r="D30" s="1137" t="s">
        <v>622</v>
      </c>
      <c r="E30" s="1138"/>
      <c r="K30" s="462"/>
    </row>
    <row r="31" spans="2:14" s="414" customFormat="1" ht="25.2" customHeight="1" thickTop="1" thickBot="1" x14ac:dyDescent="0.3">
      <c r="B31" s="1155"/>
      <c r="C31" s="1147"/>
      <c r="D31" s="1148" cm="1">
        <f t="array" ref="D31">IF(E6=B14,IFERROR(_xlfn.IFS(E27="No",ROUNDUP((D20/D23)-$D$16,0)),0),"N/A")</f>
        <v>0</v>
      </c>
      <c r="E31" s="1149"/>
    </row>
    <row r="32" spans="2:14" s="414" customFormat="1" ht="12.45" customHeight="1" x14ac:dyDescent="0.25">
      <c r="C32" s="492"/>
    </row>
    <row r="33" spans="2:14" s="414" customFormat="1" ht="12.45" customHeight="1" thickBot="1" x14ac:dyDescent="0.3">
      <c r="C33" s="492"/>
    </row>
    <row r="34" spans="2:14" s="414" customFormat="1" ht="18.45" customHeight="1" thickBot="1" x14ac:dyDescent="0.3">
      <c r="B34" s="1156" t="s">
        <v>623</v>
      </c>
      <c r="C34" s="489" t="s">
        <v>624</v>
      </c>
      <c r="J34" s="618" t="s">
        <v>623</v>
      </c>
      <c r="K34" s="618"/>
      <c r="L34" s="461"/>
      <c r="M34" s="461"/>
      <c r="N34" s="461"/>
    </row>
    <row r="35" spans="2:14" s="414" customFormat="1" ht="12.45" customHeight="1" thickBot="1" x14ac:dyDescent="0.3">
      <c r="B35" s="1154"/>
      <c r="C35" s="2" t="s">
        <v>625</v>
      </c>
      <c r="D35" s="77">
        <v>2</v>
      </c>
      <c r="E35" s="467" t="str" cm="1">
        <f t="array" ref="E35">IFERROR(_xlfn.IFS(E6="Opción 2","m2",E6="Opción 1","-",E6="Opción 3","-",E6="Opción 4","-"),"Desplegar energético")</f>
        <v>-</v>
      </c>
      <c r="J35" s="618" t="s">
        <v>626</v>
      </c>
      <c r="K35" s="618"/>
      <c r="L35" s="461"/>
      <c r="M35" s="461"/>
      <c r="N35" s="461"/>
    </row>
    <row r="36" spans="2:14" s="414" customFormat="1" ht="12.45" customHeight="1" thickBot="1" x14ac:dyDescent="0.3">
      <c r="B36" s="1154"/>
      <c r="C36" s="2" t="s">
        <v>605</v>
      </c>
      <c r="D36" s="77">
        <v>10</v>
      </c>
      <c r="E36" s="467" t="str" cm="1">
        <f t="array" ref="E36">IFERROR(_xlfn.IFS(E6="Opción 2","unidad",E6="Opción 1","-",E6="Opción 3","-",E6="Opción 4","-"),"Desplegar energético")</f>
        <v>-</v>
      </c>
      <c r="J36" s="618" t="s">
        <v>627</v>
      </c>
      <c r="K36" s="618"/>
      <c r="L36" s="461"/>
      <c r="M36" s="461"/>
      <c r="N36" s="461"/>
    </row>
    <row r="37" spans="2:14" s="414" customFormat="1" ht="12.45" customHeight="1" thickBot="1" x14ac:dyDescent="0.3">
      <c r="B37" s="1154"/>
      <c r="C37" s="490"/>
      <c r="D37" s="277"/>
      <c r="E37" s="419"/>
    </row>
    <row r="38" spans="2:14" s="423" customFormat="1" ht="25.2" customHeight="1" thickBot="1" x14ac:dyDescent="0.3">
      <c r="B38" s="1154"/>
      <c r="C38" s="493" t="s">
        <v>628</v>
      </c>
      <c r="D38" s="477" t="str" cm="1">
        <f t="array" ref="D38">IF(E6=B34,IFERROR(_xlfn.IFS(D7=$P$128,D4*$Q$128,D7=$P$129,D4*$Q$129,D6=Sistema.Fotovoltaico[[#Headers],[Sistema.Fotovoltaico]],"N/A"),"Actualizar Energetico Cocina o N/A"),"N/A")</f>
        <v>N/A</v>
      </c>
      <c r="E38" s="473" t="str" cm="1">
        <f t="array" ref="E38">IFERROR(_xlfn.IFS(E6="Opción 2","m2",E6="Opción 1","N/A",E6="Opción 3","N/A",E6="Opción 4","N/A"),"Desplegar energético")</f>
        <v>N/A</v>
      </c>
      <c r="G38" s="414"/>
    </row>
    <row r="39" spans="2:14" s="354" customFormat="1" ht="12.45" customHeight="1" x14ac:dyDescent="0.25">
      <c r="B39" s="1154"/>
      <c r="C39" s="494"/>
      <c r="D39" s="426"/>
      <c r="E39" s="427"/>
      <c r="G39" s="414"/>
    </row>
    <row r="40" spans="2:14" s="423" customFormat="1" ht="13.8" thickBot="1" x14ac:dyDescent="0.3">
      <c r="B40" s="1154"/>
      <c r="C40" s="487" t="s">
        <v>629</v>
      </c>
      <c r="D40" s="417"/>
      <c r="E40" s="417"/>
      <c r="G40" s="414"/>
    </row>
    <row r="41" spans="2:14" s="423" customFormat="1" ht="13.5" customHeight="1" thickBot="1" x14ac:dyDescent="0.3">
      <c r="B41" s="1154"/>
      <c r="C41" s="464" t="s">
        <v>630</v>
      </c>
      <c r="D41" s="473" t="str">
        <f>IF(E6=B34,D35,"-")</f>
        <v>-</v>
      </c>
      <c r="E41" s="478" t="str" cm="1">
        <f t="array" ref="E41">IFERROR(_xlfn.IFS(E6="Opción 2","m2",E6="Opción 1","-",E6="Opción 3","-",E6="Opción 4","-"),"Desplegar energético")</f>
        <v>-</v>
      </c>
      <c r="G41" s="414"/>
    </row>
    <row r="42" spans="2:14" s="414" customFormat="1" ht="13.2" customHeight="1" thickBot="1" x14ac:dyDescent="0.3">
      <c r="B42" s="1154"/>
      <c r="C42" s="464" t="s">
        <v>631</v>
      </c>
      <c r="D42" s="473" t="str">
        <f>IF(E6=B34,$D$36*$D$35,"-")</f>
        <v>-</v>
      </c>
      <c r="E42" s="478" t="str" cm="1">
        <f t="array" ref="E42">IFERROR(_xlfn.IFS(E6="Opción 2","m2",E6="Opción 1","-",E6="Opción 3","-",E6="Opción 4","-"),"Desplegar energético")</f>
        <v>-</v>
      </c>
    </row>
    <row r="43" spans="2:14" s="414" customFormat="1" ht="13.2" customHeight="1" thickBot="1" x14ac:dyDescent="0.3">
      <c r="B43" s="1154"/>
      <c r="C43" s="495"/>
      <c r="D43" s="429"/>
      <c r="E43" s="428"/>
    </row>
    <row r="44" spans="2:14" s="414" customFormat="1" ht="25.2" customHeight="1" thickBot="1" x14ac:dyDescent="0.3">
      <c r="B44" s="1154"/>
      <c r="C44" s="1135" t="s">
        <v>631</v>
      </c>
      <c r="D44" s="1137" t="s">
        <v>128</v>
      </c>
      <c r="E44" s="1138"/>
    </row>
    <row r="45" spans="2:14" s="414" customFormat="1" ht="25.2" customHeight="1" thickBot="1" x14ac:dyDescent="0.3">
      <c r="B45" s="1155"/>
      <c r="C45" s="1136"/>
      <c r="D45" s="1148" t="str" cm="1">
        <f t="array" ref="D45">IF(E6=B34,_xlfn.IFS(D42&gt;D38,"Cumple",D42=D38,"Cumple",D42&lt;D38,"No"),"N/A")</f>
        <v>N/A</v>
      </c>
      <c r="E45" s="1149"/>
    </row>
    <row r="46" spans="2:14" s="414" customFormat="1" x14ac:dyDescent="0.25">
      <c r="B46" s="430"/>
      <c r="C46" s="150"/>
      <c r="D46" s="416"/>
      <c r="E46" s="416"/>
      <c r="F46" s="416"/>
      <c r="G46" s="416"/>
      <c r="H46" s="416"/>
    </row>
    <row r="47" spans="2:14" s="414" customFormat="1" ht="13.8" thickBot="1" x14ac:dyDescent="0.3">
      <c r="C47" s="492"/>
    </row>
    <row r="48" spans="2:14" s="414" customFormat="1" ht="18.45" customHeight="1" thickBot="1" x14ac:dyDescent="0.3">
      <c r="B48" s="1156" t="s">
        <v>632</v>
      </c>
      <c r="C48" s="489" t="s">
        <v>633</v>
      </c>
      <c r="D48" s="1162" t="str" cm="1">
        <f t="array" ref="D48">IFERROR(_xlfn.IFS(E6="Opción 3","Justificación mediante Memoria de Cálculo"),"-")</f>
        <v>-</v>
      </c>
      <c r="E48" s="1162"/>
      <c r="J48" s="618" t="s">
        <v>632</v>
      </c>
      <c r="K48" s="618"/>
      <c r="L48" s="461"/>
      <c r="M48" s="461"/>
      <c r="N48" s="461"/>
    </row>
    <row r="49" spans="2:15" s="414" customFormat="1" ht="12.45" customHeight="1" thickBot="1" x14ac:dyDescent="0.3">
      <c r="B49" s="1154"/>
      <c r="C49" s="491" t="s">
        <v>611</v>
      </c>
      <c r="D49" s="472" cm="1">
        <f t="array" ref="D49">IFERROR(_xlfn.IFS($D$7=$P$121,$D$4*$Q$121,$D$7=$P$122,$D$4*$Q$122,$D$6=Colector.solar[[#Headers],[Colector.solar]],"N/A",$D$6=Colector.solar[[#Headers],[Colector.solar]],"N/A"),"N/A")</f>
        <v>0.8</v>
      </c>
      <c r="E49" s="473" t="str" cm="1">
        <f t="array" ref="E49">IFERROR(_xlfn.IFS(E6="Opción 2","N/A",E6="Opción 1","N/A",E6="Opción 3","kWp",E6="Opción 4","N/A"),"Desplegar energético")</f>
        <v>N/A</v>
      </c>
      <c r="J49" s="618"/>
      <c r="K49" s="618"/>
      <c r="L49" s="461"/>
      <c r="M49" s="461"/>
      <c r="N49" s="461"/>
    </row>
    <row r="50" spans="2:15" s="414" customFormat="1" ht="13.8" thickBot="1" x14ac:dyDescent="0.3">
      <c r="B50" s="1154"/>
      <c r="C50" s="487" t="s">
        <v>612</v>
      </c>
      <c r="D50" s="417"/>
      <c r="E50" s="417"/>
      <c r="J50" s="618"/>
      <c r="K50" s="618"/>
      <c r="L50" s="461"/>
      <c r="M50" s="461"/>
      <c r="N50" s="461"/>
    </row>
    <row r="51" spans="2:15" s="414" customFormat="1" ht="13.5" customHeight="1" thickBot="1" x14ac:dyDescent="0.3">
      <c r="B51" s="1154"/>
      <c r="C51" s="464" t="s">
        <v>634</v>
      </c>
      <c r="D51" s="77">
        <v>3</v>
      </c>
      <c r="E51" s="473" t="str" cm="1">
        <f t="array" ref="E51">IFERROR(_xlfn.IFS($E$6="Opción 2","N/A",$E$6="Opción 1","N/A",$E$6="Opción 3","kWp",$E$6="Opción 4","N/A"),"Desplegar energético")</f>
        <v>N/A</v>
      </c>
      <c r="J51" s="618" t="s">
        <v>635</v>
      </c>
      <c r="K51" s="618"/>
      <c r="L51" s="461"/>
      <c r="M51" s="461"/>
      <c r="N51" s="461"/>
    </row>
    <row r="52" spans="2:15" s="414" customFormat="1" ht="13.5" customHeight="1" thickBot="1" x14ac:dyDescent="0.3">
      <c r="B52" s="1154"/>
      <c r="C52" s="496"/>
      <c r="D52" s="431"/>
      <c r="E52" s="431"/>
    </row>
    <row r="53" spans="2:15" s="414" customFormat="1" ht="25.2" customHeight="1" thickBot="1" x14ac:dyDescent="0.3">
      <c r="B53" s="1154"/>
      <c r="C53" s="1135" t="s">
        <v>636</v>
      </c>
      <c r="D53" s="1137" t="s">
        <v>128</v>
      </c>
      <c r="E53" s="1138"/>
    </row>
    <row r="54" spans="2:15" s="414" customFormat="1" ht="25.2" customHeight="1" thickBot="1" x14ac:dyDescent="0.3">
      <c r="B54" s="1155"/>
      <c r="C54" s="1136"/>
      <c r="D54" s="1148" t="str" cm="1">
        <f t="array" ref="D54">IF(E6=B48,_xlfn.IFS(D51&gt;D49,"Cumple",D51=D49,"Cumple",D51&lt;D49,"No"),"N/A")</f>
        <v>N/A</v>
      </c>
      <c r="E54" s="1149"/>
    </row>
    <row r="55" spans="2:15" s="414" customFormat="1" ht="19.2" customHeight="1" thickBot="1" x14ac:dyDescent="0.3">
      <c r="B55" s="432"/>
      <c r="C55" s="373"/>
      <c r="D55" s="422"/>
      <c r="E55" s="422"/>
    </row>
    <row r="56" spans="2:15" s="414" customFormat="1" ht="19.2" customHeight="1" thickBot="1" x14ac:dyDescent="0.3">
      <c r="B56" s="1156" t="s">
        <v>637</v>
      </c>
      <c r="C56" s="489" t="s">
        <v>638</v>
      </c>
      <c r="D56" s="170"/>
      <c r="E56" s="170"/>
      <c r="J56" s="1134" t="s">
        <v>637</v>
      </c>
      <c r="K56" s="1134"/>
    </row>
    <row r="57" spans="2:15" s="414" customFormat="1" ht="19.2" customHeight="1" thickBot="1" x14ac:dyDescent="0.3">
      <c r="B57" s="1154"/>
      <c r="C57" s="2" t="s">
        <v>603</v>
      </c>
      <c r="D57" s="501">
        <v>1.95</v>
      </c>
      <c r="E57" s="476" t="str" cm="1">
        <f t="array" ref="E57">IFERROR(_xlfn.IFS(E6="Opción 2","-",E6="Opción 1","-",E6="Opción 3","-",E6="Opción 4","m2"),"Desplegar energético")</f>
        <v>-</v>
      </c>
      <c r="J57" s="1134" t="s">
        <v>604</v>
      </c>
      <c r="K57" s="1134"/>
    </row>
    <row r="58" spans="2:15" s="414" customFormat="1" ht="19.2" customHeight="1" thickBot="1" x14ac:dyDescent="0.3">
      <c r="B58" s="1154"/>
      <c r="C58" s="2" t="s">
        <v>605</v>
      </c>
      <c r="D58" s="77">
        <v>3</v>
      </c>
      <c r="E58" s="476" t="str" cm="1">
        <f t="array" ref="E58">IFERROR(_xlfn.IFS(E6="Opción 2","-",E6="Opción 1","-",E6="Opción 3","-",E6="Opción 4","Unidad"),"Desplegar energético")</f>
        <v>-</v>
      </c>
      <c r="J58" s="1134" t="s">
        <v>606</v>
      </c>
      <c r="K58" s="1134"/>
      <c r="O58" s="523"/>
    </row>
    <row r="59" spans="2:15" s="414" customFormat="1" ht="19.2" customHeight="1" thickBot="1" x14ac:dyDescent="0.3">
      <c r="B59" s="1154"/>
      <c r="C59" s="2" t="s">
        <v>607</v>
      </c>
      <c r="D59" s="463">
        <f>D57*D58</f>
        <v>5.85</v>
      </c>
      <c r="E59" s="476" t="str" cm="1">
        <f t="array" ref="E59">IFERROR(_xlfn.IFS(E6="Opción 2","-",E6="Opción 1","-",E6="Opción 3","-",E6="Opción 4","m2"),"Desplegar energético")</f>
        <v>-</v>
      </c>
      <c r="J59" s="1163"/>
      <c r="K59" s="1163"/>
    </row>
    <row r="60" spans="2:15" s="414" customFormat="1" ht="19.2" hidden="1" customHeight="1" thickBot="1" x14ac:dyDescent="0.3">
      <c r="B60" s="1154"/>
      <c r="C60" s="2" t="s">
        <v>608</v>
      </c>
      <c r="D60" s="525" t="s">
        <v>639</v>
      </c>
      <c r="E60" s="476" t="str" cm="1">
        <f t="array" ref="E60">_xlfn.IFS(D60=Q107,"Aplica Excepción 50%",D60=P107,"N/A Excepción ")</f>
        <v>Aplica Excepción 50%</v>
      </c>
      <c r="G60" s="352" t="s">
        <v>640</v>
      </c>
      <c r="J60" s="1164" t="s">
        <v>610</v>
      </c>
      <c r="K60" s="1164"/>
    </row>
    <row r="61" spans="2:15" s="414" customFormat="1" ht="19.2" customHeight="1" thickBot="1" x14ac:dyDescent="0.3">
      <c r="B61" s="1154"/>
      <c r="C61" s="490"/>
      <c r="D61" s="277"/>
      <c r="E61" s="419"/>
      <c r="G61" s="606" t="s">
        <v>641</v>
      </c>
      <c r="H61" s="606" t="s">
        <v>641</v>
      </c>
      <c r="J61" s="1165"/>
      <c r="K61" s="1165"/>
    </row>
    <row r="62" spans="2:15" s="414" customFormat="1" ht="19.2" customHeight="1" thickBot="1" x14ac:dyDescent="0.3">
      <c r="B62" s="1154"/>
      <c r="C62" s="491" t="s">
        <v>611</v>
      </c>
      <c r="D62" s="472" cm="1">
        <f t="array" ref="D62">IFERROR(_xlfn.IFS($D$7=$P$121,$D$4*$Q$121,$D$7=$P$122,$D$4*$Q$122,$D$6=Colector.solar[[#Headers],[Colector.solar]],"N/A",$D$6=Colector.solar[[#Headers],[Colector.solar]],"N/A"),"N/A")</f>
        <v>0.8</v>
      </c>
      <c r="E62" s="473" t="str" cm="1">
        <f t="array" ref="E62">IFERROR(_xlfn.IFS($E$6="Opción 2","N/A",$E$6="Opción 1","N/A",$E$6="Opción 3","N/A",$E$6="Opción 4","kWp"),"Desplegar energético")</f>
        <v>N/A</v>
      </c>
      <c r="G62" s="605" t="s">
        <v>642</v>
      </c>
      <c r="J62" s="1166"/>
      <c r="K62" s="1166"/>
    </row>
    <row r="63" spans="2:15" s="414" customFormat="1" ht="19.2" customHeight="1" thickBot="1" x14ac:dyDescent="0.3">
      <c r="B63" s="1154"/>
      <c r="C63"/>
      <c r="D63" s="170"/>
      <c r="E63" s="170"/>
      <c r="H63" s="276" t="s">
        <v>643</v>
      </c>
      <c r="J63" s="1163"/>
      <c r="K63" s="1163"/>
    </row>
    <row r="64" spans="2:15" s="414" customFormat="1" ht="19.2" customHeight="1" thickBot="1" x14ac:dyDescent="0.3">
      <c r="B64" s="1154"/>
      <c r="C64" s="487" t="s">
        <v>644</v>
      </c>
      <c r="D64" s="417"/>
      <c r="E64" s="417"/>
      <c r="H64" s="590" t="s">
        <v>645</v>
      </c>
      <c r="J64" s="1163"/>
      <c r="K64" s="1163"/>
    </row>
    <row r="65" spans="2:13" s="414" customFormat="1" ht="19.2" customHeight="1" thickBot="1" x14ac:dyDescent="0.3">
      <c r="B65" s="1154"/>
      <c r="C65" s="464" t="s">
        <v>646</v>
      </c>
      <c r="D65" s="525">
        <v>0.41499999999999998</v>
      </c>
      <c r="E65" s="420" t="str" cm="1">
        <f t="array" ref="E65">IFERROR(_xlfn.IFS($E$6="Opción 2","N/A",$E$6="Opción 1","N/A",$E$6="Opción 3","N/A",$E$6="Opción 4","kWp"),"Desplegar energético")</f>
        <v>N/A</v>
      </c>
      <c r="G65" s="604" t="str">
        <f>D7</f>
        <v>Eléctricidad. FV</v>
      </c>
      <c r="H65" s="591" cm="1">
        <f t="array" ref="H65">_xlfn.IFS(D7=$P$121,VLOOKUP(D7,Enegerticos.FV[],2,0),D7=$P$122,VLOOKUP(D7,Enegerticos.FV[],2,0))</f>
        <v>0.01</v>
      </c>
      <c r="J65" s="1134" t="s">
        <v>614</v>
      </c>
      <c r="K65" s="1134"/>
    </row>
    <row r="66" spans="2:13" s="414" customFormat="1" ht="19.2" customHeight="1" thickBot="1" x14ac:dyDescent="0.3">
      <c r="B66" s="1154"/>
      <c r="C66" s="526" t="s">
        <v>647</v>
      </c>
      <c r="D66" s="620" t="s">
        <v>648</v>
      </c>
      <c r="E66" s="420"/>
      <c r="G66" s="604" t="str">
        <f>D8</f>
        <v>Eléctricidad. CS</v>
      </c>
      <c r="H66" s="591" cm="1">
        <f t="array" ref="H66">_xlfn.IFS(D8=P128,VLOOKUP(D8,P138:R141,2,0),D8=P129,VLOOKUP(D8,P138:R141,2,0))</f>
        <v>0.05</v>
      </c>
      <c r="J66" s="1134" t="s">
        <v>649</v>
      </c>
      <c r="K66" s="1134"/>
    </row>
    <row r="67" spans="2:13" s="414" customFormat="1" ht="19.2" customHeight="1" thickBot="1" x14ac:dyDescent="0.3">
      <c r="B67" s="1154"/>
      <c r="C67" s="614"/>
      <c r="D67" s="615"/>
      <c r="E67" s="429"/>
      <c r="G67" s="609"/>
      <c r="H67" s="529" t="str" cm="1">
        <f t="array" ref="H67">_xlfn.IFS(D80&gt;D75,"Cumple",D80=D75,"Cumple",D80&lt;D75,"No cumple")</f>
        <v>Cumple</v>
      </c>
    </row>
    <row r="68" spans="2:13" s="414" customFormat="1" ht="19.2" customHeight="1" thickBot="1" x14ac:dyDescent="0.3">
      <c r="B68" s="1154"/>
      <c r="C68" s="474" t="s">
        <v>650</v>
      </c>
      <c r="D68" s="473" cm="1">
        <f t="array" ref="D68">_xlfn.IFS(D66="Sistema de generación Fotovoltaico",$D$65*$D$58,D66="Otro","-")</f>
        <v>1.2449999999999999</v>
      </c>
      <c r="E68" s="619" t="str" cm="1">
        <f t="array" ref="E68">IFERROR(_xlfn.IFS($E$6="Opción 2","N/A",$E$6="Opción 1","N/A",$E$6="Opción 3","N/A",$E$6="Opción 4","kWp"),"Desplegar energético")</f>
        <v>N/A</v>
      </c>
      <c r="G68" s="610"/>
    </row>
    <row r="69" spans="2:13" s="414" customFormat="1" ht="19.2" customHeight="1" thickBot="1" x14ac:dyDescent="0.3">
      <c r="B69" s="1154"/>
      <c r="C69" s="464" t="s">
        <v>634</v>
      </c>
      <c r="D69" s="525"/>
      <c r="E69" s="473" t="str" cm="1">
        <f t="array" ref="E69">_xlfn.IFS(D66="Sistema de generación Fotovoltaico","N/A",D66="Otro","kWp")</f>
        <v>N/A</v>
      </c>
      <c r="J69" s="1134" t="s">
        <v>651</v>
      </c>
      <c r="K69" s="1134"/>
    </row>
    <row r="70" spans="2:13" s="414" customFormat="1" ht="20.7" hidden="1" customHeight="1" thickBot="1" x14ac:dyDescent="0.3">
      <c r="B70" s="1154"/>
      <c r="C70" s="1143" t="s">
        <v>616</v>
      </c>
      <c r="D70" s="1145" t="s">
        <v>617</v>
      </c>
      <c r="E70" s="1146"/>
    </row>
    <row r="71" spans="2:13" s="414" customFormat="1" ht="19.2" hidden="1" customHeight="1" thickBot="1" x14ac:dyDescent="0.3">
      <c r="B71" s="1154"/>
      <c r="C71" s="1144"/>
      <c r="D71" s="530" t="s">
        <v>618</v>
      </c>
      <c r="E71" s="531" t="str" cm="1">
        <f t="array" ref="E71">IF(E47=B55,_xlfn.IFS(D65=$D$20,"Cumple",D65&gt;$D$20,"Cumple",D65=0,"N/A",D65&lt;$D$20,"No",D71=50%,"Cumple"),"N/A")</f>
        <v>No</v>
      </c>
      <c r="H71" s="276" t="s">
        <v>619</v>
      </c>
    </row>
    <row r="72" spans="2:13" s="414" customFormat="1" ht="19.2" hidden="1" customHeight="1" thickBot="1" x14ac:dyDescent="0.3">
      <c r="B72" s="1154"/>
      <c r="C72" s="1144"/>
      <c r="D72" s="475" t="str" cm="1">
        <f t="array" ref="D72">_xlfn.IFS(D60=$Q$107,"Aplica Excepción 50%",D60=$P$107,"N/A Excepción ")</f>
        <v>Aplica Excepción 50%</v>
      </c>
      <c r="E72" s="612" t="str" cm="1">
        <f t="array" ref="E72">_xlfn.IFS(H72=50%,"Cumple",H72&gt;50%,"Cumple",H72&lt;50%,"No cumple")</f>
        <v>No cumple</v>
      </c>
      <c r="H72" s="611">
        <f>D58/$D$3</f>
        <v>3.3333333333333333E-2</v>
      </c>
      <c r="J72" s="414" t="s">
        <v>652</v>
      </c>
    </row>
    <row r="73" spans="2:13" s="414" customFormat="1" ht="19.2" customHeight="1" thickBot="1" x14ac:dyDescent="0.3">
      <c r="B73" s="1154"/>
      <c r="E73" s="613"/>
      <c r="H73" s="589" t="s">
        <v>648</v>
      </c>
    </row>
    <row r="74" spans="2:13" s="414" customFormat="1" ht="19.2" customHeight="1" thickBot="1" x14ac:dyDescent="0.3">
      <c r="B74" s="1154"/>
      <c r="C74" s="493" t="s">
        <v>653</v>
      </c>
      <c r="D74" s="621" cm="1">
        <f t="array" ref="D74">IFERROR(_xlfn.IFS(D66="Sistema de generación Fotovoltaico",D4-((D68)/H65),D66="Otro",D4-((D69)/H65)),0)</f>
        <v>-44.499999999999986</v>
      </c>
      <c r="E74" s="527" t="str" cm="1">
        <f t="array" ref="E74">IFERROR(_xlfn.IFS(E6="Opción 2","-",E6="Opción 1","-",E6="Opción 3","-",E6="Opción 4","m2"),"Desplegar energético")</f>
        <v>-</v>
      </c>
      <c r="G74" s="605" t="s">
        <v>654</v>
      </c>
      <c r="H74" s="589" t="s">
        <v>655</v>
      </c>
    </row>
    <row r="75" spans="2:13" s="414" customFormat="1" ht="30.45" customHeight="1" thickBot="1" x14ac:dyDescent="0.3">
      <c r="B75" s="1154"/>
      <c r="C75" s="493" t="s">
        <v>628</v>
      </c>
      <c r="D75" s="622">
        <f>IFERROR(D74*H66,"Seleccionar solo energético CS celda D8")</f>
        <v>-2.2249999999999992</v>
      </c>
      <c r="E75" s="473" t="str" cm="1">
        <f t="array" ref="E75">IFERROR(_xlfn.IFS(E6="Opción 2","-",E6="Opción 1","-",E6="Opción 3","-",E6="Opción 4","m2"),"Desplegar energético")</f>
        <v>-</v>
      </c>
      <c r="M75" s="422"/>
    </row>
    <row r="76" spans="2:13" s="414" customFormat="1" ht="16.2" customHeight="1" x14ac:dyDescent="0.25">
      <c r="B76" s="1154"/>
      <c r="C76" s="373"/>
      <c r="D76" s="528"/>
      <c r="E76" s="528"/>
      <c r="L76" s="422"/>
      <c r="M76" s="422"/>
    </row>
    <row r="77" spans="2:13" ht="19.2" customHeight="1" thickBot="1" x14ac:dyDescent="0.3">
      <c r="B77" s="1154"/>
      <c r="C77" s="487" t="s">
        <v>656</v>
      </c>
      <c r="D77" s="353"/>
      <c r="E77" s="353"/>
      <c r="L77" s="353"/>
      <c r="M77" s="353"/>
    </row>
    <row r="78" spans="2:13" ht="19.2" customHeight="1" thickBot="1" x14ac:dyDescent="0.3">
      <c r="B78" s="1154"/>
      <c r="C78" s="524" t="s">
        <v>657</v>
      </c>
      <c r="D78" s="525">
        <v>2</v>
      </c>
      <c r="E78" s="473" t="str" cm="1">
        <f t="array" ref="E78">IFERROR(_xlfn.IFS(E6="Opción 2","-",E6="Opción 1","-",E6="Opción 3","-",E6="Opción 4","m2"),"Desplegar energético")</f>
        <v>-</v>
      </c>
      <c r="J78" s="1134" t="s">
        <v>658</v>
      </c>
      <c r="K78" s="1134"/>
      <c r="L78" s="353"/>
      <c r="M78" s="353"/>
    </row>
    <row r="79" spans="2:13" ht="19.2" customHeight="1" thickBot="1" x14ac:dyDescent="0.3">
      <c r="B79" s="1154"/>
      <c r="C79" s="524" t="s">
        <v>605</v>
      </c>
      <c r="D79" s="525">
        <v>5</v>
      </c>
      <c r="E79" s="473" t="str" cm="1">
        <f t="array" ref="E79">IFERROR(_xlfn.IFS(E6="Opción 2","-",E6="Opción 1","-",E6="Opción 3","-",E6="Opción 4","Unidad"),"Desplegar energético")</f>
        <v>-</v>
      </c>
      <c r="J79" s="1134" t="s">
        <v>659</v>
      </c>
      <c r="K79" s="1134"/>
      <c r="L79" s="353"/>
      <c r="M79" s="353"/>
    </row>
    <row r="80" spans="2:13" ht="19.2" customHeight="1" thickBot="1" x14ac:dyDescent="0.3">
      <c r="B80" s="1154"/>
      <c r="C80" s="524" t="s">
        <v>660</v>
      </c>
      <c r="D80" s="616">
        <f>D78*D79</f>
        <v>10</v>
      </c>
      <c r="E80" s="478" t="str" cm="1">
        <f t="array" ref="E80">IFERROR(_xlfn.IFS(E6="Opción 2","-",E6="Opción 1","-",E6="Opción 3","-",E6="Opción 4","m2"),"Desplegar energético")</f>
        <v>-</v>
      </c>
      <c r="L80" s="353"/>
      <c r="M80" s="353"/>
    </row>
    <row r="81" spans="2:14" ht="19.2" customHeight="1" thickBot="1" x14ac:dyDescent="0.3">
      <c r="B81" s="1154"/>
      <c r="C81" s="170"/>
      <c r="D81" s="417"/>
      <c r="E81" s="417"/>
      <c r="L81" s="353"/>
      <c r="M81" s="353"/>
    </row>
    <row r="82" spans="2:14" ht="19.2" hidden="1" customHeight="1" thickTop="1" thickBot="1" x14ac:dyDescent="0.3">
      <c r="B82" s="1154"/>
      <c r="C82" s="1147" t="s">
        <v>661</v>
      </c>
      <c r="D82" s="1137" t="s">
        <v>662</v>
      </c>
      <c r="E82" s="1138"/>
      <c r="L82" s="353"/>
      <c r="M82" s="353"/>
    </row>
    <row r="83" spans="2:14" ht="28.2" hidden="1" customHeight="1" thickTop="1" thickBot="1" x14ac:dyDescent="0.3">
      <c r="B83" s="1154"/>
      <c r="C83" s="1147"/>
      <c r="D83" s="1141">
        <f>IFERROR(ROUNDUP((D75/D78)-D79,0),0)</f>
        <v>-7</v>
      </c>
      <c r="E83" s="1142"/>
      <c r="J83" s="686"/>
      <c r="K83" s="686"/>
      <c r="L83" s="353"/>
      <c r="M83" s="353"/>
    </row>
    <row r="84" spans="2:14" ht="19.2" customHeight="1" thickBot="1" x14ac:dyDescent="0.3">
      <c r="B84" s="1154"/>
      <c r="C84" s="1135" t="s">
        <v>663</v>
      </c>
      <c r="D84" s="1137" t="s">
        <v>128</v>
      </c>
      <c r="E84" s="1138"/>
      <c r="L84" s="353"/>
      <c r="M84" s="353"/>
    </row>
    <row r="85" spans="2:14" ht="31.2" customHeight="1" thickBot="1" x14ac:dyDescent="0.3">
      <c r="B85" s="1155"/>
      <c r="C85" s="1136"/>
      <c r="D85" s="1139" t="str" cm="1">
        <f t="array" ref="D85">_xlfn.IFS(D80&gt;$D$75,"Cumple",D80=$D$75,"Cumple",D80&lt;$D$75,"No cumple")</f>
        <v>Cumple</v>
      </c>
      <c r="E85" s="1140"/>
      <c r="L85" s="353"/>
      <c r="M85" s="353"/>
    </row>
    <row r="86" spans="2:14" ht="19.2" customHeight="1" x14ac:dyDescent="0.25">
      <c r="B86" s="594"/>
      <c r="C86" s="170"/>
      <c r="L86" s="353"/>
      <c r="M86" s="353"/>
    </row>
    <row r="87" spans="2:14" s="414" customFormat="1" ht="13.8" thickBot="1" x14ac:dyDescent="0.3">
      <c r="C87" s="487" t="s">
        <v>664</v>
      </c>
      <c r="D87" s="417"/>
      <c r="E87" s="417"/>
    </row>
    <row r="88" spans="2:14" s="414" customFormat="1" ht="13.8" thickBot="1" x14ac:dyDescent="0.3">
      <c r="C88" s="487"/>
      <c r="D88" s="417"/>
      <c r="E88" s="417"/>
    </row>
    <row r="89" spans="2:14" s="414" customFormat="1" ht="49.5" customHeight="1" thickBot="1" x14ac:dyDescent="0.3">
      <c r="C89" s="497" t="s">
        <v>665</v>
      </c>
      <c r="D89" s="433" t="s">
        <v>666</v>
      </c>
      <c r="E89" s="479" t="str">
        <f>IF(D89=D96,"Justificación de consumo mediante Memoria de Cálculo e informe","Según cálculo")</f>
        <v>Según cálculo</v>
      </c>
      <c r="J89" s="618" t="s">
        <v>667</v>
      </c>
      <c r="K89" s="618"/>
      <c r="L89" s="461"/>
      <c r="M89" s="461"/>
      <c r="N89" s="461"/>
    </row>
    <row r="90" spans="2:14" s="414" customFormat="1" ht="13.8" thickBot="1" x14ac:dyDescent="0.3">
      <c r="C90" s="498"/>
      <c r="D90" s="434"/>
      <c r="E90" s="434"/>
    </row>
    <row r="91" spans="2:14" s="414" customFormat="1" ht="13.8" thickBot="1" x14ac:dyDescent="0.3">
      <c r="B91" s="1090" t="s">
        <v>668</v>
      </c>
      <c r="C91" s="480" t="s">
        <v>389</v>
      </c>
      <c r="D91" s="476" t="s">
        <v>666</v>
      </c>
      <c r="E91" s="476" t="s">
        <v>128</v>
      </c>
      <c r="G91" s="435"/>
    </row>
    <row r="92" spans="2:14" s="414" customFormat="1" ht="30" customHeight="1" thickBot="1" x14ac:dyDescent="0.3">
      <c r="B92" s="1154"/>
      <c r="C92" s="492"/>
      <c r="E92" s="424" t="str" cm="1">
        <f t="array" ref="E92">IF(D89=D91,_xlfn.IFS(D94=E94,"Cumple",D94&lt;E94,"No cumple"),"N/A")</f>
        <v>No cumple</v>
      </c>
      <c r="G92" s="435"/>
    </row>
    <row r="93" spans="2:14" s="276" customFormat="1" ht="30" customHeight="1" thickBot="1" x14ac:dyDescent="0.3">
      <c r="B93" s="1154"/>
      <c r="C93" s="480" t="s">
        <v>669</v>
      </c>
      <c r="D93" s="481" t="s">
        <v>670</v>
      </c>
      <c r="E93" s="479" t="s">
        <v>671</v>
      </c>
      <c r="G93" s="435"/>
      <c r="H93" s="414"/>
    </row>
    <row r="94" spans="2:14" s="414" customFormat="1" ht="22.95" customHeight="1" thickBot="1" x14ac:dyDescent="0.3">
      <c r="B94" s="1155"/>
      <c r="C94" s="464" t="s">
        <v>616</v>
      </c>
      <c r="D94" s="482" cm="1">
        <f t="array" ref="D94">IFERROR(_xlfn.IFS($D$89=$D$91,(D17/D3)*100%,$D$89=$D$96,0),"N/A")</f>
        <v>6.5000000000000002E-2</v>
      </c>
      <c r="E94" s="483">
        <v>1</v>
      </c>
      <c r="G94" s="435"/>
    </row>
    <row r="95" spans="2:14" s="414" customFormat="1" ht="13.8" thickBot="1" x14ac:dyDescent="0.3">
      <c r="C95" s="373"/>
      <c r="D95" s="422"/>
      <c r="E95" s="422"/>
      <c r="G95" s="435"/>
    </row>
    <row r="96" spans="2:14" s="414" customFormat="1" ht="13.8" thickBot="1" x14ac:dyDescent="0.3">
      <c r="B96" s="1090" t="s">
        <v>672</v>
      </c>
      <c r="C96" s="480" t="s">
        <v>395</v>
      </c>
      <c r="D96" s="476" t="s">
        <v>673</v>
      </c>
      <c r="E96" s="476" t="s">
        <v>128</v>
      </c>
      <c r="G96" s="435"/>
    </row>
    <row r="97" spans="2:20" s="414" customFormat="1" ht="30" customHeight="1" thickBot="1" x14ac:dyDescent="0.3">
      <c r="B97" s="1154"/>
      <c r="C97" s="492"/>
      <c r="E97" s="476" t="str" cm="1">
        <f t="array" ref="E97">IF(D89=D96,_xlfn.IFS(D98=D99,"Cumple",D98&lt;D99,"Cumple",D98&gt;D99,"No cumple"),"N/A")</f>
        <v>N/A</v>
      </c>
      <c r="G97" s="435"/>
    </row>
    <row r="98" spans="2:20" s="414" customFormat="1" ht="21.45" customHeight="1" thickBot="1" x14ac:dyDescent="0.3">
      <c r="B98" s="1154"/>
      <c r="C98" s="497" t="s">
        <v>674</v>
      </c>
      <c r="D98" s="129"/>
      <c r="E98" s="484" t="s">
        <v>675</v>
      </c>
      <c r="G98" s="435"/>
      <c r="J98" s="618" t="s">
        <v>676</v>
      </c>
      <c r="K98" s="618"/>
      <c r="L98" s="461"/>
      <c r="M98" s="461"/>
      <c r="N98" s="461"/>
    </row>
    <row r="99" spans="2:20" s="414" customFormat="1" ht="25.5" customHeight="1" thickBot="1" x14ac:dyDescent="0.3">
      <c r="B99" s="1155"/>
      <c r="C99" s="497" t="s">
        <v>677</v>
      </c>
      <c r="D99" s="129"/>
      <c r="E99" s="484" t="s">
        <v>675</v>
      </c>
      <c r="G99" s="435"/>
      <c r="J99" s="618" t="s">
        <v>678</v>
      </c>
      <c r="K99" s="618"/>
      <c r="L99" s="461"/>
      <c r="M99" s="461"/>
      <c r="N99" s="461"/>
    </row>
    <row r="100" spans="2:20" s="414" customFormat="1" x14ac:dyDescent="0.25">
      <c r="C100" s="373"/>
      <c r="D100" s="422"/>
      <c r="E100" s="422"/>
      <c r="G100" s="435"/>
    </row>
    <row r="101" spans="2:20" ht="22.2" customHeight="1" x14ac:dyDescent="0.25">
      <c r="C101" s="4"/>
      <c r="G101" s="435"/>
    </row>
    <row r="102" spans="2:20" x14ac:dyDescent="0.25">
      <c r="G102" s="435"/>
    </row>
    <row r="103" spans="2:20" x14ac:dyDescent="0.25">
      <c r="G103" s="435"/>
    </row>
    <row r="104" spans="2:20" ht="13.8" thickBot="1" x14ac:dyDescent="0.3"/>
    <row r="105" spans="2:20" x14ac:dyDescent="0.25">
      <c r="P105" s="436" t="s">
        <v>679</v>
      </c>
      <c r="Q105" s="437"/>
      <c r="R105" s="437"/>
      <c r="S105" s="437"/>
      <c r="T105" s="438"/>
    </row>
    <row r="106" spans="2:20" x14ac:dyDescent="0.25">
      <c r="P106" s="439" t="s">
        <v>680</v>
      </c>
      <c r="Q106" s="170" t="s">
        <v>681</v>
      </c>
      <c r="T106" s="440"/>
    </row>
    <row r="107" spans="2:20" x14ac:dyDescent="0.25">
      <c r="P107" s="439" t="s">
        <v>609</v>
      </c>
      <c r="Q107" s="170" t="s">
        <v>639</v>
      </c>
      <c r="T107" s="440"/>
    </row>
    <row r="108" spans="2:20" x14ac:dyDescent="0.25">
      <c r="P108" s="439"/>
      <c r="T108" s="440"/>
    </row>
    <row r="109" spans="2:20" x14ac:dyDescent="0.25">
      <c r="P109" s="439"/>
      <c r="T109" s="440"/>
    </row>
    <row r="110" spans="2:20" x14ac:dyDescent="0.25">
      <c r="T110" s="440"/>
    </row>
    <row r="111" spans="2:20" x14ac:dyDescent="0.25">
      <c r="T111" s="440"/>
    </row>
    <row r="112" spans="2:20" x14ac:dyDescent="0.25">
      <c r="T112" s="440"/>
    </row>
    <row r="113" spans="16:20" x14ac:dyDescent="0.25">
      <c r="T113" s="440"/>
    </row>
    <row r="114" spans="16:20" x14ac:dyDescent="0.25">
      <c r="T114" s="440"/>
    </row>
    <row r="115" spans="16:20" x14ac:dyDescent="0.25">
      <c r="T115" s="440"/>
    </row>
    <row r="116" spans="16:20" x14ac:dyDescent="0.25">
      <c r="P116" s="444"/>
      <c r="Q116" s="347"/>
      <c r="T116" s="440"/>
    </row>
    <row r="117" spans="16:20" x14ac:dyDescent="0.25">
      <c r="P117" s="444"/>
      <c r="Q117" s="347"/>
      <c r="T117" s="440"/>
    </row>
    <row r="118" spans="16:20" x14ac:dyDescent="0.25">
      <c r="P118" s="444"/>
      <c r="Q118" s="347"/>
      <c r="T118" s="440"/>
    </row>
    <row r="119" spans="16:20" x14ac:dyDescent="0.25">
      <c r="P119" s="1152" t="s">
        <v>682</v>
      </c>
      <c r="Q119" s="1153"/>
      <c r="R119" s="1153"/>
      <c r="T119" s="440"/>
    </row>
    <row r="120" spans="16:20" ht="12.45" customHeight="1" x14ac:dyDescent="0.25">
      <c r="P120" s="445" t="s">
        <v>683</v>
      </c>
      <c r="Q120" s="446" t="s">
        <v>684</v>
      </c>
      <c r="R120" s="447" t="s">
        <v>685</v>
      </c>
      <c r="T120" s="440"/>
    </row>
    <row r="121" spans="16:20" x14ac:dyDescent="0.25">
      <c r="P121" s="441" t="s">
        <v>686</v>
      </c>
      <c r="Q121" s="442">
        <v>1.2999999999999999E-2</v>
      </c>
      <c r="R121" s="448">
        <v>6.5000000000000002E-2</v>
      </c>
      <c r="T121" s="440"/>
    </row>
    <row r="122" spans="16:20" x14ac:dyDescent="0.25">
      <c r="P122" s="449" t="s">
        <v>594</v>
      </c>
      <c r="Q122" s="450">
        <v>0.01</v>
      </c>
      <c r="R122" s="451">
        <v>0.05</v>
      </c>
      <c r="T122" s="440"/>
    </row>
    <row r="123" spans="16:20" x14ac:dyDescent="0.25">
      <c r="P123" s="439"/>
      <c r="T123" s="440"/>
    </row>
    <row r="124" spans="16:20" x14ac:dyDescent="0.25">
      <c r="P124" s="439"/>
      <c r="T124" s="440"/>
    </row>
    <row r="125" spans="16:20" x14ac:dyDescent="0.25">
      <c r="P125" s="439"/>
      <c r="T125" s="440"/>
    </row>
    <row r="126" spans="16:20" x14ac:dyDescent="0.25">
      <c r="P126" s="1152" t="s">
        <v>687</v>
      </c>
      <c r="Q126" s="1153"/>
      <c r="R126" s="1153"/>
      <c r="T126" s="440"/>
    </row>
    <row r="127" spans="16:20" ht="12.45" customHeight="1" x14ac:dyDescent="0.25">
      <c r="P127" s="445" t="s">
        <v>683</v>
      </c>
      <c r="Q127" s="446" t="s">
        <v>684</v>
      </c>
      <c r="R127" s="447" t="s">
        <v>685</v>
      </c>
      <c r="T127" s="440"/>
    </row>
    <row r="128" spans="16:20" x14ac:dyDescent="0.25">
      <c r="P128" s="441" t="s">
        <v>688</v>
      </c>
      <c r="Q128" s="442">
        <v>6.5000000000000002E-2</v>
      </c>
      <c r="R128" s="448" t="s">
        <v>689</v>
      </c>
      <c r="T128" s="440"/>
    </row>
    <row r="129" spans="16:20" ht="13.8" thickBot="1" x14ac:dyDescent="0.3">
      <c r="P129" s="452" t="s">
        <v>597</v>
      </c>
      <c r="Q129" s="453">
        <v>0.05</v>
      </c>
      <c r="R129" s="454" t="s">
        <v>689</v>
      </c>
      <c r="S129" s="455"/>
      <c r="T129" s="456"/>
    </row>
    <row r="131" spans="16:20" x14ac:dyDescent="0.25">
      <c r="P131" s="1150" t="s">
        <v>690</v>
      </c>
      <c r="Q131" s="1151"/>
      <c r="R131" s="1151"/>
    </row>
    <row r="132" spans="16:20" x14ac:dyDescent="0.25">
      <c r="P132" s="441" t="s">
        <v>691</v>
      </c>
      <c r="Q132" s="442" t="s">
        <v>692</v>
      </c>
      <c r="R132" s="442" t="s">
        <v>693</v>
      </c>
      <c r="S132" s="443" t="s">
        <v>694</v>
      </c>
    </row>
    <row r="133" spans="16:20" x14ac:dyDescent="0.25">
      <c r="P133" s="441" t="s">
        <v>686</v>
      </c>
      <c r="Q133" s="442" t="s">
        <v>688</v>
      </c>
      <c r="R133" s="441" t="s">
        <v>686</v>
      </c>
      <c r="S133" s="442" t="s">
        <v>686</v>
      </c>
    </row>
    <row r="134" spans="16:20" x14ac:dyDescent="0.25">
      <c r="P134" s="441" t="s">
        <v>594</v>
      </c>
      <c r="Q134" s="442" t="s">
        <v>597</v>
      </c>
      <c r="R134" s="441" t="s">
        <v>594</v>
      </c>
      <c r="S134" s="442" t="s">
        <v>594</v>
      </c>
    </row>
    <row r="135" spans="16:20" x14ac:dyDescent="0.25">
      <c r="P135" s="444"/>
      <c r="Q135" s="347"/>
      <c r="R135" s="347"/>
      <c r="S135" s="442"/>
    </row>
    <row r="136" spans="16:20" x14ac:dyDescent="0.25">
      <c r="P136" s="444"/>
      <c r="Q136" s="347"/>
      <c r="R136" s="347"/>
      <c r="S136" s="442"/>
    </row>
    <row r="137" spans="16:20" x14ac:dyDescent="0.25">
      <c r="P137" s="170" t="s">
        <v>695</v>
      </c>
    </row>
    <row r="138" spans="16:20" x14ac:dyDescent="0.25">
      <c r="P138" s="1152" t="s">
        <v>687</v>
      </c>
      <c r="Q138" s="1153"/>
      <c r="R138" s="1153"/>
    </row>
    <row r="139" spans="16:20" x14ac:dyDescent="0.25">
      <c r="P139" s="445" t="s">
        <v>683</v>
      </c>
      <c r="Q139" s="446" t="s">
        <v>684</v>
      </c>
      <c r="R139" s="447" t="s">
        <v>685</v>
      </c>
    </row>
    <row r="140" spans="16:20" x14ac:dyDescent="0.25">
      <c r="P140" s="441" t="s">
        <v>688</v>
      </c>
      <c r="Q140" s="442">
        <v>0.05</v>
      </c>
      <c r="R140" s="448" t="s">
        <v>689</v>
      </c>
    </row>
    <row r="141" spans="16:20" ht="13.8" thickBot="1" x14ac:dyDescent="0.3">
      <c r="P141" s="452" t="s">
        <v>597</v>
      </c>
      <c r="Q141" s="453">
        <v>0.05</v>
      </c>
      <c r="R141" s="454" t="s">
        <v>689</v>
      </c>
    </row>
  </sheetData>
  <sheetProtection algorithmName="SHA-512" hashValue="KFBDzB2ET7eqXWFLwJdHSZoaARuBVN/ZlEcvDZX7A4v0EXfIxODcWzRaP0iEe12HzB/8KwELBfaoA706OIw5Lw==" saltValue="LIQMppJnmSoIQAsdSLbc4A==" spinCount="100000" sheet="1" objects="1" scenarios="1"/>
  <mergeCells count="46">
    <mergeCell ref="B34:B45"/>
    <mergeCell ref="P138:R138"/>
    <mergeCell ref="J79:K79"/>
    <mergeCell ref="B56:B85"/>
    <mergeCell ref="J6:K6"/>
    <mergeCell ref="J56:K56"/>
    <mergeCell ref="J57:K57"/>
    <mergeCell ref="J58:K58"/>
    <mergeCell ref="J59:K59"/>
    <mergeCell ref="J60:K60"/>
    <mergeCell ref="J61:K61"/>
    <mergeCell ref="J62:K62"/>
    <mergeCell ref="J63:K63"/>
    <mergeCell ref="J64:K64"/>
    <mergeCell ref="J65:K65"/>
    <mergeCell ref="J66:K66"/>
    <mergeCell ref="B48:B54"/>
    <mergeCell ref="D48:E48"/>
    <mergeCell ref="C53:C54"/>
    <mergeCell ref="D53:E53"/>
    <mergeCell ref="D54:E54"/>
    <mergeCell ref="B14:B31"/>
    <mergeCell ref="J27:N28"/>
    <mergeCell ref="C26:C28"/>
    <mergeCell ref="D26:E26"/>
    <mergeCell ref="C30:C31"/>
    <mergeCell ref="D30:E30"/>
    <mergeCell ref="D31:E31"/>
    <mergeCell ref="P131:R131"/>
    <mergeCell ref="P119:R119"/>
    <mergeCell ref="P126:R126"/>
    <mergeCell ref="B91:B94"/>
    <mergeCell ref="B96:B99"/>
    <mergeCell ref="J78:K78"/>
    <mergeCell ref="C44:C45"/>
    <mergeCell ref="C84:C85"/>
    <mergeCell ref="D84:E84"/>
    <mergeCell ref="D85:E85"/>
    <mergeCell ref="D83:E83"/>
    <mergeCell ref="C70:C72"/>
    <mergeCell ref="D70:E70"/>
    <mergeCell ref="C82:C83"/>
    <mergeCell ref="D82:E82"/>
    <mergeCell ref="D44:E44"/>
    <mergeCell ref="D45:E45"/>
    <mergeCell ref="J69:K69"/>
  </mergeCells>
  <phoneticPr fontId="17" type="noConversion"/>
  <conditionalFormatting sqref="D20">
    <cfRule type="containsText" dxfId="97" priority="94" operator="containsText" text="Actualizar Energetico Cocina">
      <formula>NOT(ISERROR(SEARCH("Actualizar Energetico Cocina",D20)))</formula>
    </cfRule>
  </conditionalFormatting>
  <conditionalFormatting sqref="D24 D52 D55">
    <cfRule type="containsText" dxfId="96" priority="92" operator="containsText" text="N/A">
      <formula>NOT(ISERROR(SEARCH("N/A",D24)))</formula>
    </cfRule>
  </conditionalFormatting>
  <conditionalFormatting sqref="D31">
    <cfRule type="containsText" dxfId="95" priority="97" operator="containsText" text="No cumple">
      <formula>NOT(ISERROR(SEARCH("No cumple",D31)))</formula>
    </cfRule>
  </conditionalFormatting>
  <conditionalFormatting sqref="D38:D39">
    <cfRule type="containsText" dxfId="94" priority="93" operator="containsText" text="Actualizar Energetico Cocina">
      <formula>NOT(ISERROR(SEARCH("Actualizar Energetico Cocina",D38)))</formula>
    </cfRule>
  </conditionalFormatting>
  <conditionalFormatting sqref="D41:D43">
    <cfRule type="containsText" dxfId="93" priority="79" operator="containsText" text="N/A">
      <formula>NOT(ISERROR(SEARCH("N/A",D41)))</formula>
    </cfRule>
  </conditionalFormatting>
  <conditionalFormatting sqref="D48 D24 D52 D55">
    <cfRule type="containsText" dxfId="92" priority="91" operator="containsText" text="kWp">
      <formula>NOT(ISERROR(SEARCH("kWp",D24)))</formula>
    </cfRule>
  </conditionalFormatting>
  <conditionalFormatting sqref="D48">
    <cfRule type="containsText" dxfId="91" priority="88" operator="containsText" text="N/A">
      <formula>NOT(ISERROR(SEARCH("N/A",D48)))</formula>
    </cfRule>
  </conditionalFormatting>
  <conditionalFormatting sqref="D49">
    <cfRule type="containsText" dxfId="90" priority="64" operator="containsText" text="Actualizar Energetico Cocina">
      <formula>NOT(ISERROR(SEARCH("Actualizar Energetico Cocina",D49)))</formula>
    </cfRule>
  </conditionalFormatting>
  <conditionalFormatting sqref="D54">
    <cfRule type="containsText" dxfId="89" priority="61" operator="containsText" text="No">
      <formula>NOT(ISERROR(SEARCH("No",D54)))</formula>
    </cfRule>
  </conditionalFormatting>
  <conditionalFormatting sqref="D62">
    <cfRule type="containsText" dxfId="88" priority="53" operator="containsText" text="Actualizar Energetico Cocina">
      <formula>NOT(ISERROR(SEARCH("Actualizar Energetico Cocina",D62)))</formula>
    </cfRule>
  </conditionalFormatting>
  <conditionalFormatting sqref="D66:D68">
    <cfRule type="containsText" dxfId="87" priority="3" operator="containsText" text="kWp">
      <formula>NOT(ISERROR(SEARCH("kWp",D66)))</formula>
    </cfRule>
    <cfRule type="containsText" dxfId="86" priority="4" operator="containsText" text="N/A">
      <formula>NOT(ISERROR(SEARCH("N/A",D66)))</formula>
    </cfRule>
  </conditionalFormatting>
  <conditionalFormatting sqref="D74:D76">
    <cfRule type="containsText" dxfId="85" priority="33" operator="containsText" text="N/A">
      <formula>NOT(ISERROR(SEARCH("N/A",D74)))</formula>
    </cfRule>
    <cfRule type="containsText" dxfId="84" priority="32" operator="containsText" text="kWp">
      <formula>NOT(ISERROR(SEARCH("kWp",D74)))</formula>
    </cfRule>
  </conditionalFormatting>
  <conditionalFormatting sqref="D80">
    <cfRule type="containsText" dxfId="83" priority="29" operator="containsText" text="N/A">
      <formula>NOT(ISERROR(SEARCH("N/A",D80)))</formula>
    </cfRule>
  </conditionalFormatting>
  <conditionalFormatting sqref="D83">
    <cfRule type="containsText" dxfId="82" priority="19" operator="containsText" text="No cumple">
      <formula>NOT(ISERROR(SEARCH("No cumple",D83)))</formula>
    </cfRule>
  </conditionalFormatting>
  <conditionalFormatting sqref="D85">
    <cfRule type="containsText" dxfId="81" priority="24" operator="containsText" text="No cumple">
      <formula>NOT(ISERROR(SEARCH("No cumple",D85)))</formula>
    </cfRule>
    <cfRule type="containsText" dxfId="80" priority="25" stopIfTrue="1" operator="containsText" text="Cumple">
      <formula>NOT(ISERROR(SEARCH("Cumple",D85)))</formula>
    </cfRule>
  </conditionalFormatting>
  <conditionalFormatting sqref="D41:E43">
    <cfRule type="containsText" dxfId="79" priority="74" operator="containsText" text="kWp">
      <formula>NOT(ISERROR(SEARCH("kWp",D41)))</formula>
    </cfRule>
  </conditionalFormatting>
  <conditionalFormatting sqref="D80:E80">
    <cfRule type="containsText" dxfId="78" priority="27" operator="containsText" text="kWp">
      <formula>NOT(ISERROR(SEARCH("kWp",D80)))</formula>
    </cfRule>
  </conditionalFormatting>
  <conditionalFormatting sqref="D94:E94">
    <cfRule type="containsText" dxfId="77" priority="95" operator="containsText" text="No">
      <formula>NOT(ISERROR(SEARCH("No",D94)))</formula>
    </cfRule>
  </conditionalFormatting>
  <conditionalFormatting sqref="E20 E52 E55">
    <cfRule type="containsText" dxfId="76" priority="89" operator="containsText" text="kWp">
      <formula>NOT(ISERROR(SEARCH("kWp",E20)))</formula>
    </cfRule>
  </conditionalFormatting>
  <conditionalFormatting sqref="E20 E55">
    <cfRule type="containsText" dxfId="75" priority="90" operator="containsText" text="N/A">
      <formula>NOT(ISERROR(SEARCH("N/A",E20)))</formula>
    </cfRule>
  </conditionalFormatting>
  <conditionalFormatting sqref="E23">
    <cfRule type="containsText" dxfId="74" priority="70" operator="containsText" text="N/A">
      <formula>NOT(ISERROR(SEARCH("N/A",E23)))</formula>
    </cfRule>
    <cfRule type="containsText" dxfId="73" priority="69" operator="containsText" text="kWp">
      <formula>NOT(ISERROR(SEARCH("kWp",E23)))</formula>
    </cfRule>
  </conditionalFormatting>
  <conditionalFormatting sqref="E24">
    <cfRule type="containsText" dxfId="72" priority="67" operator="containsText" text="kWp">
      <formula>NOT(ISERROR(SEARCH("kWp",E24)))</formula>
    </cfRule>
    <cfRule type="containsText" dxfId="71" priority="68" operator="containsText" text="N/A">
      <formula>NOT(ISERROR(SEARCH("N/A",E24)))</formula>
    </cfRule>
  </conditionalFormatting>
  <conditionalFormatting sqref="E27:E28">
    <cfRule type="containsText" dxfId="70" priority="57" operator="containsText" text="No cumple">
      <formula>NOT(ISERROR(SEARCH("No cumple",E27)))</formula>
    </cfRule>
    <cfRule type="containsText" dxfId="69" priority="58" stopIfTrue="1" operator="containsText" text="Cumple">
      <formula>NOT(ISERROR(SEARCH("Cumple",E27)))</formula>
    </cfRule>
  </conditionalFormatting>
  <conditionalFormatting sqref="E38">
    <cfRule type="containsText" dxfId="68" priority="72" operator="containsText" text="N/A">
      <formula>NOT(ISERROR(SEARCH("N/A",E38)))</formula>
    </cfRule>
  </conditionalFormatting>
  <conditionalFormatting sqref="E38:E39">
    <cfRule type="containsText" dxfId="67" priority="71" operator="containsText" text="kWp">
      <formula>NOT(ISERROR(SEARCH("kWp",E38)))</formula>
    </cfRule>
  </conditionalFormatting>
  <conditionalFormatting sqref="E39">
    <cfRule type="containsText" dxfId="66" priority="87" operator="containsText" text="N/A">
      <formula>NOT(ISERROR(SEARCH("N/A",E39)))</formula>
    </cfRule>
  </conditionalFormatting>
  <conditionalFormatting sqref="E41:E43">
    <cfRule type="containsText" dxfId="65" priority="75" operator="containsText" text="N/A">
      <formula>NOT(ISERROR(SEARCH("N/A",E41)))</formula>
    </cfRule>
  </conditionalFormatting>
  <conditionalFormatting sqref="E49">
    <cfRule type="containsText" dxfId="64" priority="65" operator="containsText" text="kWp">
      <formula>NOT(ISERROR(SEARCH("kWp",E49)))</formula>
    </cfRule>
    <cfRule type="containsText" dxfId="63" priority="66" operator="containsText" text="N/A">
      <formula>NOT(ISERROR(SEARCH("N/A",E49)))</formula>
    </cfRule>
  </conditionalFormatting>
  <conditionalFormatting sqref="E51">
    <cfRule type="containsText" dxfId="62" priority="62" operator="containsText" text="kWp">
      <formula>NOT(ISERROR(SEARCH("kWp",E51)))</formula>
    </cfRule>
  </conditionalFormatting>
  <conditionalFormatting sqref="E51:E52">
    <cfRule type="containsText" dxfId="61" priority="63" operator="containsText" text="N/A">
      <formula>NOT(ISERROR(SEARCH("N/A",E51)))</formula>
    </cfRule>
  </conditionalFormatting>
  <conditionalFormatting sqref="E62">
    <cfRule type="containsText" dxfId="60" priority="48" operator="containsText" text="kWp">
      <formula>NOT(ISERROR(SEARCH("kWp",E62)))</formula>
    </cfRule>
    <cfRule type="containsText" dxfId="59" priority="49" operator="containsText" text="N/A">
      <formula>NOT(ISERROR(SEARCH("N/A",E62)))</formula>
    </cfRule>
  </conditionalFormatting>
  <conditionalFormatting sqref="E65:E67">
    <cfRule type="containsText" dxfId="58" priority="39" operator="containsText" text="kWp">
      <formula>NOT(ISERROR(SEARCH("kWp",E65)))</formula>
    </cfRule>
    <cfRule type="containsText" dxfId="57" priority="40" operator="containsText" text="N/A">
      <formula>NOT(ISERROR(SEARCH("N/A",E65)))</formula>
    </cfRule>
  </conditionalFormatting>
  <conditionalFormatting sqref="E68">
    <cfRule type="containsText" dxfId="56" priority="37" operator="containsText" text="kWp">
      <formula>NOT(ISERROR(SEARCH("kWp",E68)))</formula>
    </cfRule>
  </conditionalFormatting>
  <conditionalFormatting sqref="E68:E69">
    <cfRule type="containsText" dxfId="55" priority="6" operator="containsText" text="N/A">
      <formula>NOT(ISERROR(SEARCH("N/A",E68)))</formula>
    </cfRule>
  </conditionalFormatting>
  <conditionalFormatting sqref="E69">
    <cfRule type="containsText" dxfId="54" priority="5" operator="containsText" text="kWp">
      <formula>NOT(ISERROR(SEARCH("kWp",E69)))</formula>
    </cfRule>
  </conditionalFormatting>
  <conditionalFormatting sqref="E71:E72">
    <cfRule type="containsText" dxfId="53" priority="23" stopIfTrue="1" operator="containsText" text="Cumple">
      <formula>NOT(ISERROR(SEARCH("Cumple",E71)))</formula>
    </cfRule>
    <cfRule type="containsText" dxfId="52" priority="22" operator="containsText" text="No cumple">
      <formula>NOT(ISERROR(SEARCH("No cumple",E71)))</formula>
    </cfRule>
  </conditionalFormatting>
  <conditionalFormatting sqref="E73:E76">
    <cfRule type="containsText" dxfId="51" priority="2" operator="containsText" text="N/A">
      <formula>NOT(ISERROR(SEARCH("N/A",E73)))</formula>
    </cfRule>
    <cfRule type="containsText" dxfId="50" priority="1" operator="containsText" text="kWp">
      <formula>NOT(ISERROR(SEARCH("kWp",E73)))</formula>
    </cfRule>
  </conditionalFormatting>
  <conditionalFormatting sqref="E80">
    <cfRule type="containsText" dxfId="49" priority="28" operator="containsText" text="N/A">
      <formula>NOT(ISERROR(SEARCH("N/A",E80)))</formula>
    </cfRule>
  </conditionalFormatting>
  <conditionalFormatting sqref="E92 G66:H67 G68">
    <cfRule type="containsText" dxfId="48" priority="98" stopIfTrue="1" operator="containsText" text="Cumple">
      <formula>NOT(ISERROR(SEARCH("Cumple",E66)))</formula>
    </cfRule>
  </conditionalFormatting>
  <conditionalFormatting sqref="E97">
    <cfRule type="containsText" dxfId="47" priority="55" operator="containsText" text="No cumple">
      <formula>NOT(ISERROR(SEARCH("No cumple",E97)))</formula>
    </cfRule>
    <cfRule type="containsText" dxfId="46" priority="56" stopIfTrue="1" operator="containsText" text="Cumple">
      <formula>NOT(ISERROR(SEARCH("Cumple",E97)))</formula>
    </cfRule>
  </conditionalFormatting>
  <conditionalFormatting sqref="G65">
    <cfRule type="containsText" dxfId="45" priority="7" stopIfTrue="1" operator="containsText" text="Cumple">
      <formula>NOT(ISERROR(SEARCH("Cumple",G65)))</formula>
    </cfRule>
    <cfRule type="containsText" dxfId="44" priority="8" operator="containsText" text="No">
      <formula>NOT(ISERROR(SEARCH("No",G65)))</formula>
    </cfRule>
  </conditionalFormatting>
  <conditionalFormatting sqref="G66:H67 D45 G68">
    <cfRule type="containsText" dxfId="43" priority="73" operator="containsText" text="No">
      <formula>NOT(ISERROR(SEARCH("No",D45)))</formula>
    </cfRule>
  </conditionalFormatting>
  <conditionalFormatting sqref="H28 E92">
    <cfRule type="containsText" dxfId="42" priority="81" operator="containsText" text="No">
      <formula>NOT(ISERROR(SEARCH("No",E28)))</formula>
    </cfRule>
  </conditionalFormatting>
  <conditionalFormatting sqref="H28">
    <cfRule type="containsText" dxfId="41" priority="96" stopIfTrue="1" operator="containsText" text="Cumple">
      <formula>NOT(ISERROR(SEARCH("Cumple",H28)))</formula>
    </cfRule>
  </conditionalFormatting>
  <conditionalFormatting sqref="H64:H65">
    <cfRule type="containsText" dxfId="40" priority="16" operator="containsText" text="No">
      <formula>NOT(ISERROR(SEARCH("No",H64)))</formula>
    </cfRule>
    <cfRule type="containsText" dxfId="39" priority="15" stopIfTrue="1" operator="containsText" text="Cumple">
      <formula>NOT(ISERROR(SEARCH("Cumple",H64)))</formula>
    </cfRule>
  </conditionalFormatting>
  <conditionalFormatting sqref="H67">
    <cfRule type="containsText" dxfId="38" priority="11" operator="containsText" text="No cumple">
      <formula>NOT(ISERROR(SEARCH("No cumple",H67)))</formula>
    </cfRule>
    <cfRule type="containsText" dxfId="37" priority="12" stopIfTrue="1" operator="containsText" text="Cumple">
      <formula>NOT(ISERROR(SEARCH("Cumple",H67)))</formula>
    </cfRule>
  </conditionalFormatting>
  <conditionalFormatting sqref="H72">
    <cfRule type="containsText" dxfId="36" priority="21" operator="containsText" text="No">
      <formula>NOT(ISERROR(SEARCH("No",H72)))</formula>
    </cfRule>
    <cfRule type="containsText" dxfId="35" priority="20" stopIfTrue="1" operator="containsText" text="Cumple">
      <formula>NOT(ISERROR(SEARCH("Cumple",H72)))</formula>
    </cfRule>
  </conditionalFormatting>
  <dataValidations count="5">
    <dataValidation type="list" allowBlank="1" showInputMessage="1" showErrorMessage="1" sqref="D89:D90" xr:uid="{DAD7F816-69BF-4FE7-9ADF-1935151D223D}">
      <formula1>"Neteo energía,Superficie cubierta"</formula1>
    </dataValidation>
    <dataValidation type="list" allowBlank="1" showInputMessage="1" showErrorMessage="1" sqref="D18:D19 D60:D61" xr:uid="{E4C578FB-5876-4FBA-B86A-451931991EC6}">
      <formula1>$P$107:$Q$107</formula1>
    </dataValidation>
    <dataValidation type="list" allowBlank="1" showInputMessage="1" showErrorMessage="1" sqref="D7" xr:uid="{447B6492-8A72-4214-82D2-127C56448D1C}">
      <formula1>INDIRECT($D$6)</formula1>
    </dataValidation>
    <dataValidation type="list" allowBlank="1" showInputMessage="1" showErrorMessage="1" sqref="D66:D67" xr:uid="{6D59243E-55EA-4453-9021-CD8605875532}">
      <formula1>$H$73:$H$74</formula1>
    </dataValidation>
    <dataValidation type="list" allowBlank="1" showInputMessage="1" showErrorMessage="1" sqref="D6" xr:uid="{C438F9E5-2637-4C5F-915F-8D2C0CD64A17}">
      <formula1>$P$132:$S$132</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D48 E65" unlockedFormula="1"/>
  </ignoredErrors>
  <legacyDrawingHF r:id="rId2"/>
  <tableParts count="7">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847B-E5B3-4C41-9ED5-92B92FFD9F5C}">
  <dimension ref="A1:H48"/>
  <sheetViews>
    <sheetView showGridLines="0" topLeftCell="A3" zoomScale="80" zoomScaleNormal="80" zoomScalePageLayoutView="80" workbookViewId="0">
      <selection activeCell="B4" sqref="B4"/>
    </sheetView>
  </sheetViews>
  <sheetFormatPr defaultColWidth="8.6640625" defaultRowHeight="13.2" x14ac:dyDescent="0.25"/>
  <cols>
    <col min="1" max="1" width="5.33203125" customWidth="1"/>
    <col min="2" max="2" width="25.5546875" customWidth="1"/>
    <col min="3" max="3" width="27.6640625" customWidth="1"/>
    <col min="4" max="4" width="28.6640625" customWidth="1"/>
    <col min="5" max="5" width="19" customWidth="1"/>
    <col min="6" max="8" width="19.5546875" customWidth="1"/>
    <col min="9" max="9" width="24.33203125" customWidth="1"/>
    <col min="10" max="10" width="15.33203125" customWidth="1"/>
    <col min="11" max="11" width="10.33203125" customWidth="1"/>
  </cols>
  <sheetData>
    <row r="1" spans="1:8" s="128" customFormat="1" ht="26.7" customHeight="1" x14ac:dyDescent="0.25">
      <c r="A1" s="126" t="s">
        <v>696</v>
      </c>
      <c r="B1" s="127" t="s">
        <v>697</v>
      </c>
      <c r="C1" s="127" t="s">
        <v>698</v>
      </c>
      <c r="D1" s="127"/>
      <c r="E1" s="127"/>
      <c r="F1" s="127" t="s">
        <v>699</v>
      </c>
      <c r="G1" s="127"/>
      <c r="H1" s="127"/>
    </row>
    <row r="2" spans="1:8" ht="13.8" thickBot="1" x14ac:dyDescent="0.3"/>
    <row r="3" spans="1:8" ht="43.95" customHeight="1" thickBot="1" x14ac:dyDescent="0.3">
      <c r="B3" s="295" t="s">
        <v>700</v>
      </c>
      <c r="C3" s="53" t="s">
        <v>493</v>
      </c>
      <c r="D3" s="53" t="s">
        <v>701</v>
      </c>
      <c r="E3" s="53" t="s">
        <v>702</v>
      </c>
      <c r="F3" s="53" t="s">
        <v>500</v>
      </c>
      <c r="G3" s="53" t="s">
        <v>703</v>
      </c>
      <c r="H3" s="54" t="s">
        <v>704</v>
      </c>
    </row>
    <row r="4" spans="1:8" x14ac:dyDescent="0.25">
      <c r="B4" s="502"/>
      <c r="C4" s="309"/>
      <c r="D4" s="309"/>
      <c r="E4" s="293" t="s">
        <v>521</v>
      </c>
      <c r="F4" s="505" t="s">
        <v>522</v>
      </c>
      <c r="G4" s="505">
        <v>5</v>
      </c>
      <c r="H4" s="506">
        <v>5</v>
      </c>
    </row>
    <row r="5" spans="1:8" x14ac:dyDescent="0.25">
      <c r="B5" s="503"/>
      <c r="C5" s="310"/>
      <c r="D5" s="310"/>
      <c r="E5" s="84" t="s">
        <v>521</v>
      </c>
      <c r="F5" s="507" t="s">
        <v>522</v>
      </c>
      <c r="G5" s="507">
        <v>5</v>
      </c>
      <c r="H5" s="508">
        <v>5</v>
      </c>
    </row>
    <row r="6" spans="1:8" x14ac:dyDescent="0.25">
      <c r="B6" s="503"/>
      <c r="C6" s="310"/>
      <c r="D6" s="310"/>
      <c r="E6" s="84" t="s">
        <v>521</v>
      </c>
      <c r="F6" s="507" t="s">
        <v>522</v>
      </c>
      <c r="G6" s="507">
        <v>6</v>
      </c>
      <c r="H6" s="508">
        <v>5</v>
      </c>
    </row>
    <row r="7" spans="1:8" x14ac:dyDescent="0.25">
      <c r="B7" s="503"/>
      <c r="C7" s="310"/>
      <c r="D7" s="310"/>
      <c r="E7" s="84" t="s">
        <v>521</v>
      </c>
      <c r="F7" s="507" t="s">
        <v>522</v>
      </c>
      <c r="G7" s="507">
        <v>7</v>
      </c>
      <c r="H7" s="508">
        <v>5</v>
      </c>
    </row>
    <row r="8" spans="1:8" ht="13.8" thickBot="1" x14ac:dyDescent="0.3">
      <c r="B8" s="504"/>
      <c r="C8" s="311"/>
      <c r="D8" s="311"/>
      <c r="E8" s="85" t="s">
        <v>521</v>
      </c>
      <c r="F8" s="509" t="s">
        <v>522</v>
      </c>
      <c r="G8" s="509">
        <v>8</v>
      </c>
      <c r="H8" s="510">
        <v>5</v>
      </c>
    </row>
    <row r="9" spans="1:8" ht="13.8" thickBot="1" x14ac:dyDescent="0.3"/>
    <row r="10" spans="1:8" ht="27" thickBot="1" x14ac:dyDescent="0.3">
      <c r="B10" s="162" t="s">
        <v>705</v>
      </c>
      <c r="C10" s="62" t="s">
        <v>493</v>
      </c>
      <c r="D10" s="62" t="s">
        <v>701</v>
      </c>
      <c r="E10" s="62" t="s">
        <v>500</v>
      </c>
      <c r="F10" s="62" t="s">
        <v>706</v>
      </c>
      <c r="G10" s="63" t="s">
        <v>707</v>
      </c>
    </row>
    <row r="11" spans="1:8" x14ac:dyDescent="0.25">
      <c r="B11" s="502" t="s">
        <v>708</v>
      </c>
      <c r="C11" s="309" t="s">
        <v>709</v>
      </c>
      <c r="D11" s="309" t="s">
        <v>380</v>
      </c>
      <c r="E11" s="511" t="s">
        <v>521</v>
      </c>
      <c r="F11" s="505">
        <v>9.5</v>
      </c>
      <c r="G11" s="506">
        <v>6</v>
      </c>
    </row>
    <row r="12" spans="1:8" x14ac:dyDescent="0.25">
      <c r="B12" s="503" t="s">
        <v>710</v>
      </c>
      <c r="C12" s="310" t="s">
        <v>709</v>
      </c>
      <c r="D12" s="310" t="s">
        <v>711</v>
      </c>
      <c r="E12" s="507" t="s">
        <v>521</v>
      </c>
      <c r="F12" s="507">
        <v>15.2</v>
      </c>
      <c r="G12" s="508">
        <v>8</v>
      </c>
    </row>
    <row r="13" spans="1:8" x14ac:dyDescent="0.25">
      <c r="B13" s="503" t="s">
        <v>712</v>
      </c>
      <c r="C13" s="310" t="s">
        <v>713</v>
      </c>
      <c r="D13" s="310" t="s">
        <v>714</v>
      </c>
      <c r="E13" s="507" t="s">
        <v>522</v>
      </c>
      <c r="F13" s="507"/>
      <c r="G13" s="508"/>
    </row>
    <row r="14" spans="1:8" x14ac:dyDescent="0.25">
      <c r="B14" s="503"/>
      <c r="C14" s="310"/>
      <c r="D14" s="310"/>
      <c r="E14" s="507"/>
      <c r="F14" s="507"/>
      <c r="G14" s="508"/>
    </row>
    <row r="15" spans="1:8" x14ac:dyDescent="0.25">
      <c r="B15" s="503"/>
      <c r="C15" s="310"/>
      <c r="D15" s="310"/>
      <c r="E15" s="507"/>
      <c r="F15" s="507"/>
      <c r="G15" s="508"/>
    </row>
    <row r="16" spans="1:8" x14ac:dyDescent="0.25">
      <c r="B16" s="503"/>
      <c r="C16" s="310"/>
      <c r="D16" s="310"/>
      <c r="E16" s="507"/>
      <c r="F16" s="507"/>
      <c r="G16" s="508"/>
    </row>
    <row r="17" spans="2:7" x14ac:dyDescent="0.25">
      <c r="B17" s="503"/>
      <c r="C17" s="310"/>
      <c r="D17" s="310"/>
      <c r="E17" s="507"/>
      <c r="F17" s="507"/>
      <c r="G17" s="508"/>
    </row>
    <row r="18" spans="2:7" ht="13.8" thickBot="1" x14ac:dyDescent="0.3">
      <c r="B18" s="504"/>
      <c r="C18" s="311"/>
      <c r="D18" s="311"/>
      <c r="E18" s="509"/>
      <c r="F18" s="509"/>
      <c r="G18" s="510"/>
    </row>
    <row r="19" spans="2:7" ht="13.8" thickBot="1" x14ac:dyDescent="0.3"/>
    <row r="20" spans="2:7" ht="27" thickBot="1" x14ac:dyDescent="0.3">
      <c r="B20" s="295" t="s">
        <v>715</v>
      </c>
      <c r="C20" s="53" t="s">
        <v>716</v>
      </c>
      <c r="D20" s="53" t="s">
        <v>717</v>
      </c>
      <c r="E20" s="1124" t="s">
        <v>718</v>
      </c>
      <c r="F20" s="1125"/>
    </row>
    <row r="21" spans="2:7" x14ac:dyDescent="0.25">
      <c r="B21" s="1167"/>
      <c r="C21" s="1170"/>
      <c r="D21" s="1170"/>
      <c r="E21" s="1173"/>
      <c r="F21" s="1174"/>
    </row>
    <row r="22" spans="2:7" x14ac:dyDescent="0.25">
      <c r="B22" s="1168"/>
      <c r="C22" s="1171"/>
      <c r="D22" s="1171"/>
      <c r="E22" s="1175"/>
      <c r="F22" s="1176"/>
    </row>
    <row r="23" spans="2:7" ht="13.8" thickBot="1" x14ac:dyDescent="0.3">
      <c r="B23" s="1169"/>
      <c r="C23" s="1172"/>
      <c r="D23" s="1172"/>
      <c r="E23" s="1177"/>
      <c r="F23" s="1178"/>
    </row>
    <row r="40" spans="2:8" x14ac:dyDescent="0.25">
      <c r="B40" s="1191" t="s">
        <v>1109</v>
      </c>
    </row>
    <row r="48" spans="2:8" ht="319.2" customHeight="1" x14ac:dyDescent="0.25">
      <c r="B48" s="1119" t="s">
        <v>719</v>
      </c>
      <c r="C48" s="1119"/>
      <c r="D48" s="1119"/>
      <c r="E48" s="1119"/>
      <c r="F48" s="1119"/>
      <c r="G48" s="1119"/>
      <c r="H48" s="1119"/>
    </row>
  </sheetData>
  <sheetProtection algorithmName="SHA-512" hashValue="Y81eZF90Uipg0gqWt4jaq9rSBoOBQbCrHBHfR4eYk7KBUpp0qFEHiskBdScOUD+pkaizIioXYzr4OtaHGUNMvQ==" saltValue="1VXiV8F5Ctd7rOzeSLcNuw==" spinCount="100000" sheet="1" selectLockedCells="1"/>
  <mergeCells count="6">
    <mergeCell ref="B48:H48"/>
    <mergeCell ref="E20:F20"/>
    <mergeCell ref="B21:B23"/>
    <mergeCell ref="C21:C23"/>
    <mergeCell ref="D21:D23"/>
    <mergeCell ref="E21:F23"/>
  </mergeCells>
  <phoneticPr fontId="17" type="noConversion"/>
  <conditionalFormatting sqref="E4:E8">
    <cfRule type="containsText" dxfId="34" priority="53" operator="containsText" text="NO">
      <formula>NOT(ISERROR(SEARCH("NO",E4)))</formula>
    </cfRule>
    <cfRule type="containsText" dxfId="33" priority="52" operator="containsText" text="SI">
      <formula>NOT(ISERROR(SEARCH("SI",E4)))</formula>
    </cfRule>
  </conditionalFormatting>
  <conditionalFormatting sqref="E11:E17">
    <cfRule type="cellIs" dxfId="32" priority="5" operator="equal">
      <formula>"SI"</formula>
    </cfRule>
  </conditionalFormatting>
  <conditionalFormatting sqref="E11:E18">
    <cfRule type="cellIs" dxfId="31" priority="1" operator="equal">
      <formula>"SI"</formula>
    </cfRule>
    <cfRule type="cellIs" dxfId="30" priority="2" operator="equal">
      <formula>"NO"</formula>
    </cfRule>
    <cfRule type="containsText" dxfId="29" priority="45" operator="containsText" text="Si tiene">
      <formula>NOT(ISERROR(SEARCH("Si tiene",E11)))</formula>
    </cfRule>
    <cfRule type="containsText" dxfId="28" priority="46" operator="containsText" text="Listo">
      <formula>NOT(ISERROR(SEARCH("Listo",E11)))</formula>
    </cfRule>
    <cfRule type="containsText" dxfId="27" priority="47" operator="containsText" text="Pendiente">
      <formula>NOT(ISERROR(SEARCH("Pendiente",E11)))</formula>
    </cfRule>
    <cfRule type="containsText" dxfId="26" priority="43" operator="containsText" text="SI">
      <formula>NOT(ISERROR(SEARCH("SI",E11)))</formula>
    </cfRule>
    <cfRule type="containsText" dxfId="25" priority="44" operator="containsText" text="No tiene">
      <formula>NOT(ISERROR(SEARCH("No tiene",E11)))</formula>
    </cfRule>
  </conditionalFormatting>
  <conditionalFormatting sqref="F4:F8 K21:K23">
    <cfRule type="containsText" dxfId="24" priority="59" operator="containsText" text="Listo">
      <formula>NOT(ISERROR(SEARCH("Listo",F4)))</formula>
    </cfRule>
    <cfRule type="containsText" dxfId="23" priority="60" operator="containsText" text="Pendiente">
      <formula>NOT(ISERROR(SEARCH("Pendiente",F4)))</formula>
    </cfRule>
  </conditionalFormatting>
  <conditionalFormatting sqref="F4:F8">
    <cfRule type="cellIs" dxfId="22" priority="6" operator="equal">
      <formula>"SI"</formula>
    </cfRule>
    <cfRule type="cellIs" dxfId="21" priority="7" operator="equal">
      <formula>"No"</formula>
    </cfRule>
    <cfRule type="containsText" dxfId="20" priority="55" operator="containsText" text="SI">
      <formula>NOT(ISERROR(SEARCH("SI",F4)))</formula>
    </cfRule>
    <cfRule type="containsText" dxfId="19" priority="56" operator="containsText" text="No tiene">
      <formula>NOT(ISERROR(SEARCH("No tiene",F4)))</formula>
    </cfRule>
    <cfRule type="containsText" dxfId="18" priority="57" operator="containsText" text="Si tiene">
      <formula>NOT(ISERROR(SEARCH("Si tiene",F4)))</formula>
    </cfRule>
  </conditionalFormatting>
  <conditionalFormatting sqref="F11:F18">
    <cfRule type="containsBlanks" dxfId="17" priority="8">
      <formula>LEN(TRIM(F11))=0</formula>
    </cfRule>
    <cfRule type="cellIs" dxfId="16" priority="9" operator="equal">
      <formula>G11</formula>
    </cfRule>
    <cfRule type="cellIs" dxfId="15" priority="10" operator="lessThan">
      <formula>G11</formula>
    </cfRule>
    <cfRule type="cellIs" dxfId="14" priority="11" operator="greaterThan">
      <formula>G11</formula>
    </cfRule>
  </conditionalFormatting>
  <conditionalFormatting sqref="G4:G8">
    <cfRule type="containsBlanks" dxfId="13" priority="16">
      <formula>LEN(TRIM(G4))=0</formula>
    </cfRule>
    <cfRule type="cellIs" dxfId="12" priority="17" operator="equal">
      <formula>H4</formula>
    </cfRule>
    <cfRule type="cellIs" dxfId="11" priority="19" operator="greaterThan">
      <formula>H4</formula>
    </cfRule>
    <cfRule type="cellIs" dxfId="10" priority="18" operator="lessThan">
      <formula>H4</formula>
    </cfRule>
  </conditionalFormatting>
  <conditionalFormatting sqref="I4:J8 I21:J23">
    <cfRule type="containsText" dxfId="9" priority="63" operator="containsText" text="No tiene">
      <formula>NOT(ISERROR(SEARCH("No tiene",I4)))</formula>
    </cfRule>
    <cfRule type="containsText" dxfId="8" priority="64" operator="containsText" text="Tiene">
      <formula>NOT(ISERROR(SEARCH("Tiene",I4)))</formula>
    </cfRule>
  </conditionalFormatting>
  <conditionalFormatting sqref="I11:J18">
    <cfRule type="containsText" dxfId="7" priority="50" operator="containsText" text="No tiene">
      <formula>NOT(ISERROR(SEARCH("No tiene",I11)))</formula>
    </cfRule>
    <cfRule type="containsText" dxfId="6" priority="51" operator="containsText" text="Tiene">
      <formula>NOT(ISERROR(SEARCH("Tiene",I11)))</formula>
    </cfRule>
  </conditionalFormatting>
  <conditionalFormatting sqref="K4:K8">
    <cfRule type="containsText" dxfId="5" priority="61" operator="containsText" text="Listo">
      <formula>NOT(ISERROR(SEARCH("Listo",K4)))</formula>
    </cfRule>
    <cfRule type="containsText" dxfId="4" priority="62" operator="containsText" text="Pendiente">
      <formula>NOT(ISERROR(SEARCH("Pendiente",K4)))</formula>
    </cfRule>
  </conditionalFormatting>
  <conditionalFormatting sqref="K11:K18">
    <cfRule type="containsText" dxfId="3" priority="48" operator="containsText" text="Listo">
      <formula>NOT(ISERROR(SEARCH("Listo",K11)))</formula>
    </cfRule>
    <cfRule type="containsText" dxfId="2" priority="49" operator="containsText" text="Pendiente">
      <formula>NOT(ISERROR(SEARCH("Pendiente",K11)))</formula>
    </cfRule>
  </conditionalFormatting>
  <dataValidations count="2">
    <dataValidation type="list" allowBlank="1" showInputMessage="1" showErrorMessage="1" sqref="E4:F8 E11:E18" xr:uid="{EFECEDE3-5747-4567-BB8B-68334654FADD}">
      <formula1>"SI,NO"</formula1>
    </dataValidation>
    <dataValidation type="list" allowBlank="1" showInputMessage="1" showErrorMessage="1" sqref="F4:F8 E11:E18" xr:uid="{512F7CFA-2C65-4111-B816-50C3F5CF79D6}">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8708-C9B6-408D-AB04-7FDCF28F7D30}">
  <dimension ref="A1:K186"/>
  <sheetViews>
    <sheetView topLeftCell="A87" zoomScale="40" zoomScaleNormal="40" workbookViewId="0">
      <selection activeCell="K2" sqref="K2"/>
    </sheetView>
  </sheetViews>
  <sheetFormatPr defaultColWidth="8.6640625" defaultRowHeight="13.2" x14ac:dyDescent="0.25"/>
  <cols>
    <col min="2" max="2" width="63.6640625" customWidth="1"/>
    <col min="3" max="3" width="13.33203125" customWidth="1"/>
    <col min="5" max="5" width="17.109375" hidden="1" customWidth="1"/>
    <col min="6" max="6" width="17.109375" customWidth="1"/>
    <col min="7" max="7" width="88.6640625" style="15" customWidth="1"/>
    <col min="8" max="8" width="19.33203125" style="16" customWidth="1"/>
    <col min="10" max="11" width="80.6640625" style="15" customWidth="1"/>
  </cols>
  <sheetData>
    <row r="1" spans="1:11" ht="28.95" customHeight="1" x14ac:dyDescent="0.25">
      <c r="A1" s="1179" t="s">
        <v>720</v>
      </c>
      <c r="B1" s="1179"/>
      <c r="C1" s="298" t="s">
        <v>721</v>
      </c>
      <c r="E1" s="298" t="s">
        <v>348</v>
      </c>
      <c r="F1" s="298"/>
    </row>
    <row r="2" spans="1:11" x14ac:dyDescent="0.25">
      <c r="A2" s="1180" t="s">
        <v>722</v>
      </c>
      <c r="B2" s="1180"/>
      <c r="C2" s="299"/>
      <c r="E2" s="16"/>
      <c r="F2" s="16"/>
      <c r="G2" s="15" t="s">
        <v>723</v>
      </c>
      <c r="H2" s="16" t="s">
        <v>724</v>
      </c>
      <c r="J2" s="15" t="s">
        <v>146</v>
      </c>
      <c r="K2" s="15" t="s">
        <v>725</v>
      </c>
    </row>
    <row r="3" spans="1:11" ht="26.4" x14ac:dyDescent="0.25">
      <c r="F3" s="16"/>
      <c r="G3" s="300" t="s">
        <v>726</v>
      </c>
      <c r="J3" s="301" t="str">
        <f>Tabla2[[#This Row],[Paquete Piso]]</f>
        <v>PAQUETES DE PISO</v>
      </c>
      <c r="K3" s="300" t="str">
        <f>'A4'!J9</f>
        <v>CLT 115 con planchas de MDF por cara + cámara de aire ventilada + MDF +plancha de acero exterior</v>
      </c>
    </row>
    <row r="4" spans="1:11" ht="39.6" x14ac:dyDescent="0.25">
      <c r="A4" s="302" t="s">
        <v>727</v>
      </c>
      <c r="B4" s="300" t="s">
        <v>728</v>
      </c>
      <c r="C4" s="16">
        <v>255</v>
      </c>
      <c r="E4" t="s">
        <v>729</v>
      </c>
      <c r="F4" s="16"/>
      <c r="G4" s="300" t="s">
        <v>730</v>
      </c>
      <c r="H4" s="16" t="s">
        <v>731</v>
      </c>
      <c r="J4" s="300" t="str">
        <f>Tabla2[[#This Row],[Paquete Piso]]</f>
        <v>P1.  Cerámica + Sobrelosa concreto 6cm + barrera de vapor + Aislación térmica 12cm + Barrera Humedad + Radier Hormigón Armado 20cm + Barrera humedad + Ripio 10cm</v>
      </c>
      <c r="K4" s="300">
        <f>'A4'!J10</f>
        <v>0</v>
      </c>
    </row>
    <row r="5" spans="1:11" ht="26.4" x14ac:dyDescent="0.25">
      <c r="A5" s="302" t="s">
        <v>732</v>
      </c>
      <c r="B5" s="300" t="s">
        <v>733</v>
      </c>
      <c r="C5" s="16">
        <v>211</v>
      </c>
      <c r="E5" t="s">
        <v>734</v>
      </c>
      <c r="F5" s="16"/>
      <c r="G5" s="300" t="s">
        <v>147</v>
      </c>
      <c r="H5" s="16">
        <v>211</v>
      </c>
      <c r="J5" s="300" t="str">
        <f>Tabla2[[#This Row],[Paquete Piso]]</f>
        <v>P2.  Radier de Hormigón Armado 10cm + Aislación térmica 12cm + polietileno 0,2mm + Ripio 10cm</v>
      </c>
      <c r="K5" s="300">
        <f>'A4'!J11</f>
        <v>0</v>
      </c>
    </row>
    <row r="6" spans="1:11" ht="26.4" x14ac:dyDescent="0.25">
      <c r="A6" s="302" t="s">
        <v>735</v>
      </c>
      <c r="B6" s="300" t="s">
        <v>736</v>
      </c>
      <c r="C6" s="16">
        <v>347</v>
      </c>
      <c r="E6" t="s">
        <v>737</v>
      </c>
      <c r="F6" s="16"/>
      <c r="G6" s="300" t="s">
        <v>738</v>
      </c>
      <c r="H6" s="16">
        <v>347</v>
      </c>
      <c r="J6" s="300" t="str">
        <f>Tabla2[[#This Row],[Paquete Piso]]</f>
        <v>P3.  Ceramicas + sobrelosa concreto 3cm + aislación 2cm + Losa HA 15cm + Aislación 10cm</v>
      </c>
      <c r="K6" s="300">
        <f>'A4'!J12</f>
        <v>0</v>
      </c>
    </row>
    <row r="7" spans="1:11" ht="26.4" x14ac:dyDescent="0.25">
      <c r="A7" s="302" t="s">
        <v>739</v>
      </c>
      <c r="B7" s="300" t="s">
        <v>740</v>
      </c>
      <c r="C7" s="16">
        <v>230</v>
      </c>
      <c r="E7" t="s">
        <v>741</v>
      </c>
      <c r="F7" s="16"/>
      <c r="G7" s="300" t="s">
        <v>742</v>
      </c>
      <c r="H7" s="16">
        <v>230</v>
      </c>
      <c r="J7" s="300" t="str">
        <f>Tabla2[[#This Row],[Paquete Piso]]</f>
        <v>P4.  Ceramicas + lámina de corcho + sobrelosa concreto 8cm + terciado 18mm + aislación 12cm + plancha yesocartón 15mm + terciado 18mm</v>
      </c>
      <c r="K7" s="300">
        <f>'A4'!J13</f>
        <v>0</v>
      </c>
    </row>
    <row r="8" spans="1:11" ht="26.4" x14ac:dyDescent="0.25">
      <c r="A8" s="302" t="s">
        <v>743</v>
      </c>
      <c r="B8" s="300" t="s">
        <v>744</v>
      </c>
      <c r="C8" s="16">
        <v>317</v>
      </c>
      <c r="E8" t="s">
        <v>745</v>
      </c>
      <c r="F8" s="16"/>
      <c r="G8" s="300" t="s">
        <v>746</v>
      </c>
      <c r="H8" s="16">
        <v>317</v>
      </c>
      <c r="J8" s="300" t="str">
        <f>Tabla2[[#This Row],[Paquete Piso]]</f>
        <v>P5.  Cerámica + sobrelosa concreto 3cm + Losa hormigón armado 10cm + polietileno + CLT 17cm</v>
      </c>
      <c r="K8" s="300">
        <f>'A4'!J14</f>
        <v>0</v>
      </c>
    </row>
    <row r="9" spans="1:11" ht="14.4" x14ac:dyDescent="0.25">
      <c r="A9" s="302" t="s">
        <v>747</v>
      </c>
      <c r="B9" s="300" t="s">
        <v>748</v>
      </c>
      <c r="C9" s="16">
        <v>126</v>
      </c>
      <c r="E9" t="s">
        <v>729</v>
      </c>
      <c r="F9" s="16"/>
      <c r="G9" s="300" t="s">
        <v>749</v>
      </c>
      <c r="H9" s="16">
        <v>126</v>
      </c>
      <c r="J9" s="300" t="str">
        <f>Tabla2[[#This Row],[Paquete Piso]]</f>
        <v>P6.  Losa hormigón armado 15cm + Ripio 50mm</v>
      </c>
      <c r="K9" s="300">
        <f>'A4'!J15</f>
        <v>0</v>
      </c>
    </row>
    <row r="10" spans="1:11" ht="14.4" x14ac:dyDescent="0.25">
      <c r="A10" s="302" t="s">
        <v>750</v>
      </c>
      <c r="B10" s="300" t="s">
        <v>751</v>
      </c>
      <c r="C10" s="16">
        <v>78</v>
      </c>
      <c r="E10" t="s">
        <v>729</v>
      </c>
      <c r="F10" s="16"/>
      <c r="G10" s="300" t="s">
        <v>752</v>
      </c>
      <c r="H10" s="16">
        <v>78</v>
      </c>
      <c r="J10" s="300" t="str">
        <f>Tabla2[[#This Row],[Paquete Piso]]</f>
        <v>P7.  Cerámica + Losa hormigón armado 10cm + polietileno + Ripio 50mm</v>
      </c>
      <c r="K10" s="300">
        <f>'A4'!J16</f>
        <v>0</v>
      </c>
    </row>
    <row r="11" spans="1:11" ht="14.4" x14ac:dyDescent="0.25">
      <c r="A11" s="302" t="s">
        <v>753</v>
      </c>
      <c r="B11" s="300" t="s">
        <v>754</v>
      </c>
      <c r="C11" s="16">
        <v>213</v>
      </c>
      <c r="E11" t="s">
        <v>755</v>
      </c>
      <c r="F11" s="16"/>
      <c r="G11" s="300" t="s">
        <v>756</v>
      </c>
      <c r="H11" s="16">
        <v>213</v>
      </c>
      <c r="J11" s="300" t="str">
        <f>Tabla2[[#This Row],[Paquete Piso]]</f>
        <v>P8.  Losa Hormigón Armado 12cm + aislación térmica 80mm + polietileno</v>
      </c>
      <c r="K11" s="300">
        <f>'A4'!J17</f>
        <v>0</v>
      </c>
    </row>
    <row r="12" spans="1:11" ht="14.4" x14ac:dyDescent="0.25">
      <c r="A12" s="16"/>
      <c r="B12" s="300"/>
      <c r="C12" s="16"/>
      <c r="F12" s="16"/>
      <c r="G12" s="300" t="s">
        <v>757</v>
      </c>
      <c r="J12" s="303" t="s">
        <v>252</v>
      </c>
      <c r="K12" s="300">
        <f>'A4'!J18</f>
        <v>0</v>
      </c>
    </row>
    <row r="13" spans="1:11" ht="14.4" x14ac:dyDescent="0.25">
      <c r="A13" s="1181" t="s">
        <v>758</v>
      </c>
      <c r="B13" s="1181"/>
      <c r="C13" s="304" t="s">
        <v>759</v>
      </c>
      <c r="F13" s="16"/>
      <c r="G13" s="300" t="s">
        <v>760</v>
      </c>
      <c r="J13" s="301" t="str">
        <f>G13</f>
        <v>PAQUETE CIELOS Y CUBIERTAS</v>
      </c>
      <c r="K13" s="300">
        <f>'A4'!J19</f>
        <v>0</v>
      </c>
    </row>
    <row r="14" spans="1:11" ht="66" x14ac:dyDescent="0.25">
      <c r="A14" s="16" t="s">
        <v>761</v>
      </c>
      <c r="B14" s="300" t="s">
        <v>762</v>
      </c>
      <c r="C14" s="16">
        <v>2.5</v>
      </c>
      <c r="E14" t="s">
        <v>763</v>
      </c>
      <c r="F14" s="16"/>
      <c r="G14" s="305" t="s">
        <v>173</v>
      </c>
      <c r="H14" s="16">
        <f>C14</f>
        <v>2.5</v>
      </c>
      <c r="J14" s="300" t="str">
        <f>G14</f>
        <v xml:space="preserve">C1.  Plancha Yeso Cartón de 10 mm en listoneado de madera 2x2" + estructura cerchas y costaneras de madera + cámara de aire entre plancha de cielo y aislante 50mm </v>
      </c>
      <c r="K14" s="300">
        <f>'A4'!J20</f>
        <v>0</v>
      </c>
    </row>
    <row r="15" spans="1:11" ht="39.6" x14ac:dyDescent="0.25">
      <c r="A15" s="16" t="s">
        <v>764</v>
      </c>
      <c r="B15" s="44" t="s">
        <v>765</v>
      </c>
      <c r="C15" s="16">
        <v>10.5</v>
      </c>
      <c r="E15" t="s">
        <v>766</v>
      </c>
      <c r="F15" s="16"/>
      <c r="G15" s="305" t="s">
        <v>767</v>
      </c>
      <c r="H15" s="16">
        <f t="shared" ref="H15:H20" si="0">C15</f>
        <v>10.5</v>
      </c>
      <c r="J15" s="300" t="str">
        <f t="shared" ref="J15:J20" si="1">G15</f>
        <v>C2.  Panel TECHOLISTO, Plancha yesocartón 10mm + plancha de acero 0,5mm +  poliestireno expandido 120mm + plancha acero 0,5 mm prepintada con 5 μ de primer y 20 μ de pintura de terminación.</v>
      </c>
      <c r="K15" s="300">
        <f>'A4'!J21</f>
        <v>0</v>
      </c>
    </row>
    <row r="16" spans="1:11" ht="60.6" customHeight="1" x14ac:dyDescent="0.25">
      <c r="A16" s="16" t="s">
        <v>768</v>
      </c>
      <c r="B16" s="44" t="s">
        <v>769</v>
      </c>
      <c r="C16" s="16">
        <v>14.6</v>
      </c>
      <c r="E16" t="s">
        <v>770</v>
      </c>
      <c r="F16" s="16"/>
      <c r="G16" s="305" t="s">
        <v>150</v>
      </c>
      <c r="H16" s="16">
        <f t="shared" si="0"/>
        <v>14.6</v>
      </c>
      <c r="J16" s="300" t="str">
        <f t="shared" si="1"/>
        <v>C3.  Plancha yesocartón 10mm + Aislación Poliestireno Expandido 100mm con perfiles metálicos incorporados + Malla de acero electrosoldada + Losa de hormigón espesor promedio 65mm + Sobrelosa de hormigón liviano 30mm</v>
      </c>
      <c r="K16" s="300">
        <f>'A4'!J22</f>
        <v>0</v>
      </c>
    </row>
    <row r="17" spans="1:11" ht="60.6" customHeight="1" x14ac:dyDescent="0.25">
      <c r="A17" s="16" t="s">
        <v>771</v>
      </c>
      <c r="B17" s="300" t="s">
        <v>772</v>
      </c>
      <c r="C17" s="16">
        <v>199</v>
      </c>
      <c r="E17" t="s">
        <v>773</v>
      </c>
      <c r="F17" s="16"/>
      <c r="G17" s="305" t="s">
        <v>774</v>
      </c>
      <c r="H17" s="16">
        <f t="shared" si="0"/>
        <v>199</v>
      </c>
      <c r="J17" s="300" t="str">
        <f t="shared" si="1"/>
        <v>C4.  Losa de Hormigón Armado 100mm + Plancha Poliestireno Expandido 110mm + Sobrelosa Hormigón Liviano 30mm</v>
      </c>
      <c r="K17" s="300">
        <f>'A4'!J23</f>
        <v>0</v>
      </c>
    </row>
    <row r="18" spans="1:11" ht="60.6" customHeight="1" x14ac:dyDescent="0.25">
      <c r="A18" s="16" t="s">
        <v>775</v>
      </c>
      <c r="B18" s="300" t="s">
        <v>776</v>
      </c>
      <c r="C18" s="16">
        <v>14.7</v>
      </c>
      <c r="E18" t="s">
        <v>777</v>
      </c>
      <c r="F18" s="16"/>
      <c r="G18" s="305" t="s">
        <v>778</v>
      </c>
      <c r="H18" s="16">
        <f t="shared" si="0"/>
        <v>14.7</v>
      </c>
      <c r="J18" s="300" t="str">
        <f t="shared" si="1"/>
        <v>C5.  Plancha yesocartón 10mm + Aislación Poliestireno Expandido 100mm + Losa de Hormigón Armado 100mm + Sobrelosa Hormigón Liviano 30mm</v>
      </c>
      <c r="K18" s="300">
        <f>'A4'!J24</f>
        <v>0</v>
      </c>
    </row>
    <row r="19" spans="1:11" ht="60.6" customHeight="1" x14ac:dyDescent="0.25">
      <c r="A19" s="16" t="s">
        <v>779</v>
      </c>
      <c r="B19" s="300" t="s">
        <v>780</v>
      </c>
      <c r="C19" s="16">
        <v>43</v>
      </c>
      <c r="E19" t="s">
        <v>777</v>
      </c>
      <c r="F19" s="16"/>
      <c r="G19" s="305" t="s">
        <v>781</v>
      </c>
      <c r="H19" s="16">
        <f t="shared" si="0"/>
        <v>43</v>
      </c>
      <c r="J19" s="300" t="str">
        <f t="shared" si="1"/>
        <v>C6.  Plancha yesocartón 10mm + Losa de Hormigón Armado 100mm + Porcelanato 10mm</v>
      </c>
      <c r="K19" s="300">
        <f>'A4'!J25</f>
        <v>0</v>
      </c>
    </row>
    <row r="20" spans="1:11" ht="60.6" customHeight="1" x14ac:dyDescent="0.25">
      <c r="A20" s="16" t="s">
        <v>782</v>
      </c>
      <c r="B20" s="300" t="s">
        <v>783</v>
      </c>
      <c r="C20" s="16">
        <v>50</v>
      </c>
      <c r="E20" t="s">
        <v>741</v>
      </c>
      <c r="F20" s="16"/>
      <c r="G20" s="305" t="s">
        <v>784</v>
      </c>
      <c r="H20" s="16">
        <f t="shared" si="0"/>
        <v>50</v>
      </c>
      <c r="J20" s="300" t="str">
        <f t="shared" si="1"/>
        <v>C7.  Terciado 18mm + plancha yesocartón 15mm + aislación 12cm + terciado 18mm + sobrelosa concreto 8cm + lámina de corcho + cerámicas</v>
      </c>
      <c r="K20" s="300">
        <f>'A4'!J26</f>
        <v>0</v>
      </c>
    </row>
    <row r="21" spans="1:11" x14ac:dyDescent="0.25">
      <c r="F21" s="16"/>
      <c r="G21" s="300" t="s">
        <v>785</v>
      </c>
      <c r="J21" s="306" t="s">
        <v>252</v>
      </c>
      <c r="K21" s="300">
        <f>'A4'!J27</f>
        <v>0</v>
      </c>
    </row>
    <row r="22" spans="1:11" ht="14.4" x14ac:dyDescent="0.25">
      <c r="A22" s="1182" t="s">
        <v>786</v>
      </c>
      <c r="B22" s="1182"/>
      <c r="C22" s="307" t="s">
        <v>759</v>
      </c>
      <c r="F22" s="16"/>
      <c r="G22" s="300" t="s">
        <v>787</v>
      </c>
      <c r="J22" s="301" t="str">
        <f>G22</f>
        <v>PAQUETES MUROS</v>
      </c>
      <c r="K22" s="300">
        <f>'A4'!J28</f>
        <v>0</v>
      </c>
    </row>
    <row r="23" spans="1:11" ht="26.4" x14ac:dyDescent="0.25">
      <c r="A23" s="16" t="s">
        <v>788</v>
      </c>
      <c r="B23" s="44" t="s">
        <v>789</v>
      </c>
      <c r="C23" s="16">
        <v>389</v>
      </c>
      <c r="E23" t="s">
        <v>729</v>
      </c>
      <c r="F23" s="16"/>
      <c r="G23" s="305" t="s">
        <v>790</v>
      </c>
      <c r="H23" s="16">
        <f>C23</f>
        <v>389</v>
      </c>
      <c r="J23" s="300" t="str">
        <f t="shared" ref="J23:J33" si="2">G23</f>
        <v>M1.  Yesocartón 10mm + Albañilería 24cm + Aislación térmica 14cm + Cámara de aire 4cm con estructura de aluminio + Revestimiento de fachada</v>
      </c>
      <c r="K23" s="300">
        <f>'A4'!J29</f>
        <v>0</v>
      </c>
    </row>
    <row r="24" spans="1:11" ht="26.4" x14ac:dyDescent="0.25">
      <c r="A24" s="16" t="s">
        <v>791</v>
      </c>
      <c r="B24" s="44" t="s">
        <v>792</v>
      </c>
      <c r="C24" s="16">
        <v>23</v>
      </c>
      <c r="E24" t="s">
        <v>729</v>
      </c>
      <c r="F24" s="16"/>
      <c r="G24" s="305" t="s">
        <v>174</v>
      </c>
      <c r="H24" s="16">
        <f t="shared" ref="H24:H33" si="3">C24</f>
        <v>23</v>
      </c>
      <c r="J24" s="300" t="str">
        <f t="shared" si="2"/>
        <v>M2.  OSB 15mm + Lana mineral 160mm + OSB 15mm + cámara de aire ventilada + Terminación exterior tipo siding</v>
      </c>
      <c r="K24" s="300">
        <f>'A4'!J30</f>
        <v>0</v>
      </c>
    </row>
    <row r="25" spans="1:11" ht="26.4" x14ac:dyDescent="0.25">
      <c r="A25" s="16" t="s">
        <v>793</v>
      </c>
      <c r="B25" s="44" t="s">
        <v>794</v>
      </c>
      <c r="C25" s="16">
        <v>441</v>
      </c>
      <c r="E25" t="s">
        <v>729</v>
      </c>
      <c r="F25" s="16"/>
      <c r="G25" s="305" t="s">
        <v>795</v>
      </c>
      <c r="H25" s="16">
        <f t="shared" si="3"/>
        <v>441</v>
      </c>
      <c r="J25" s="300" t="str">
        <f t="shared" si="2"/>
        <v>M3.  Yesocartón + Ladrillos sólidos + cemento + mortero adhesivo y de refuerzo + aislante tablero de fibra de madera</v>
      </c>
      <c r="K25" s="300">
        <f>'A4'!J31</f>
        <v>0</v>
      </c>
    </row>
    <row r="26" spans="1:11" ht="39.6" x14ac:dyDescent="0.25">
      <c r="A26" s="16" t="s">
        <v>796</v>
      </c>
      <c r="B26" s="44" t="s">
        <v>797</v>
      </c>
      <c r="C26" s="16">
        <v>106</v>
      </c>
      <c r="E26" t="s">
        <v>729</v>
      </c>
      <c r="F26" s="16"/>
      <c r="G26" s="305" t="s">
        <v>798</v>
      </c>
      <c r="H26" s="16">
        <f t="shared" si="3"/>
        <v>106</v>
      </c>
      <c r="J26" s="300" t="str">
        <f t="shared" si="2"/>
        <v>M4.  Plancha yesocartón 10mm + Concreto hormigón 240mm + Estructura de madera con aislante de 100mm entre pies derechos + Membrana de vapor + cámara de aire + terminación tipo siding</v>
      </c>
      <c r="K26" s="300">
        <f>'A4'!J32</f>
        <v>0</v>
      </c>
    </row>
    <row r="27" spans="1:11" x14ac:dyDescent="0.25">
      <c r="A27" s="16" t="s">
        <v>799</v>
      </c>
      <c r="B27" s="44" t="s">
        <v>800</v>
      </c>
      <c r="C27" s="16">
        <v>351</v>
      </c>
      <c r="E27" t="s">
        <v>801</v>
      </c>
      <c r="F27" s="16"/>
      <c r="G27" s="305" t="s">
        <v>152</v>
      </c>
      <c r="H27" s="16">
        <f t="shared" si="3"/>
        <v>351</v>
      </c>
      <c r="J27" s="300" t="str">
        <f t="shared" si="2"/>
        <v>M5.  Hormigón Armado 200mm + Aislante Poliestireno Expandido 80mm</v>
      </c>
      <c r="K27" s="300">
        <f>'A4'!J33</f>
        <v>0</v>
      </c>
    </row>
    <row r="28" spans="1:11" ht="26.4" x14ac:dyDescent="0.25">
      <c r="A28" s="16" t="s">
        <v>802</v>
      </c>
      <c r="B28" s="44" t="s">
        <v>803</v>
      </c>
      <c r="C28" s="16">
        <v>73</v>
      </c>
      <c r="E28" t="s">
        <v>804</v>
      </c>
      <c r="F28" s="16"/>
      <c r="G28" s="305" t="s">
        <v>154</v>
      </c>
      <c r="H28" s="16">
        <f t="shared" si="3"/>
        <v>73</v>
      </c>
      <c r="J28" s="300" t="str">
        <f t="shared" si="2"/>
        <v>M6.  Mortero de cemento 20mm + Ladrillo hecho a máquina 143mm + Mortero de cemento 20mm</v>
      </c>
      <c r="K28" s="300">
        <f>'A4'!J34</f>
        <v>0</v>
      </c>
    </row>
    <row r="29" spans="1:11" ht="26.4" x14ac:dyDescent="0.25">
      <c r="A29" s="16" t="s">
        <v>805</v>
      </c>
      <c r="B29" s="44" t="s">
        <v>806</v>
      </c>
      <c r="C29" s="16">
        <v>26</v>
      </c>
      <c r="E29" t="s">
        <v>807</v>
      </c>
      <c r="F29" s="16"/>
      <c r="G29" s="305" t="s">
        <v>808</v>
      </c>
      <c r="H29" s="16">
        <f t="shared" si="3"/>
        <v>26</v>
      </c>
      <c r="J29" s="300" t="str">
        <f t="shared" si="2"/>
        <v>M7.  Plancha de yesocartón 10mm + Aislante Poliestireno Expandido 30mm + Ladrillo hecho a máquina 143mm + mortero de cemento 20mm</v>
      </c>
      <c r="K29" s="300">
        <f>'A4'!J35</f>
        <v>0</v>
      </c>
    </row>
    <row r="30" spans="1:11" ht="26.4" x14ac:dyDescent="0.25">
      <c r="A30" s="16" t="s">
        <v>809</v>
      </c>
      <c r="B30" s="44" t="s">
        <v>810</v>
      </c>
      <c r="C30" s="16">
        <v>126</v>
      </c>
      <c r="E30" t="s">
        <v>807</v>
      </c>
      <c r="F30" s="16"/>
      <c r="G30" s="305" t="s">
        <v>811</v>
      </c>
      <c r="H30" s="16">
        <f t="shared" si="3"/>
        <v>126</v>
      </c>
      <c r="J30" s="300" t="str">
        <f t="shared" si="2"/>
        <v>M8.  Mortero de cemento 20mm + Ladrillo hecho a máquina 143mm + Aislante Poliestireno Expandido 30mm + Plancha tesocartón 10mm</v>
      </c>
      <c r="K30" s="300">
        <f>'A4'!J36</f>
        <v>0</v>
      </c>
    </row>
    <row r="31" spans="1:11" ht="52.8" x14ac:dyDescent="0.25">
      <c r="A31" s="16" t="s">
        <v>812</v>
      </c>
      <c r="B31" s="44" t="s">
        <v>813</v>
      </c>
      <c r="C31" s="16">
        <v>27</v>
      </c>
      <c r="E31" t="s">
        <v>814</v>
      </c>
      <c r="F31" s="16"/>
      <c r="G31" s="305" t="s">
        <v>815</v>
      </c>
      <c r="H31" s="16">
        <f t="shared" si="3"/>
        <v>27</v>
      </c>
      <c r="J31" s="300" t="str">
        <f t="shared" si="2"/>
        <v>M9.  Plancha yesocartón 10mm + OSB 18mm + Aislación Poliestireno Expandido 120mm + Plancha yesocartón 10mm + Placa terciado madera pino 15mm + barrera de humedad + cámara ventilada 40mm + tinglado tabla termo tratada 18mm</v>
      </c>
      <c r="K31" s="300">
        <f>'A4'!J37</f>
        <v>0</v>
      </c>
    </row>
    <row r="32" spans="1:11" ht="26.4" x14ac:dyDescent="0.25">
      <c r="A32" s="16" t="s">
        <v>816</v>
      </c>
      <c r="B32" s="44" t="s">
        <v>817</v>
      </c>
      <c r="C32" s="16">
        <v>28</v>
      </c>
      <c r="E32" t="s">
        <v>814</v>
      </c>
      <c r="F32" s="16"/>
      <c r="G32" s="305" t="s">
        <v>818</v>
      </c>
      <c r="H32" s="16">
        <f t="shared" si="3"/>
        <v>28</v>
      </c>
      <c r="J32" s="300" t="str">
        <f t="shared" si="2"/>
        <v>M10.  Capa estuco de mortero o enlucido de yeso 16mm + Aislación Poliestireno Expandido 60mm + barrera de humedad + Concreto hormigón 150mm</v>
      </c>
      <c r="K32" s="300">
        <f>'A4'!J38</f>
        <v>0</v>
      </c>
    </row>
    <row r="33" spans="1:11" ht="52.8" x14ac:dyDescent="0.25">
      <c r="A33" s="16" t="s">
        <v>819</v>
      </c>
      <c r="B33" s="44" t="s">
        <v>820</v>
      </c>
      <c r="C33" s="16">
        <v>27</v>
      </c>
      <c r="E33" t="s">
        <v>821</v>
      </c>
      <c r="F33" s="16"/>
      <c r="G33" s="305" t="s">
        <v>822</v>
      </c>
      <c r="H33" s="16">
        <f t="shared" si="3"/>
        <v>27</v>
      </c>
      <c r="J33" s="300" t="str">
        <f t="shared" si="2"/>
        <v>M11.  Plancha yesocartón 10mm + Terciado madera estructural 11,1mm + Aislante Lana de Vidrio 120mm con estructura pies derechos de madera + Plancha yesocartón 10mm + membrana hidrófuga + distanciadores horizontales madera pino + revestimiento metálico</v>
      </c>
      <c r="K33" s="300">
        <f>'A4'!J39</f>
        <v>0</v>
      </c>
    </row>
    <row r="34" spans="1:11" x14ac:dyDescent="0.25">
      <c r="G34" s="15" t="str">
        <f t="shared" ref="G34:G97" si="4">_xlfn.CONCAT(A35,".  ",B35)</f>
        <v xml:space="preserve">.  </v>
      </c>
    </row>
    <row r="35" spans="1:11" x14ac:dyDescent="0.25">
      <c r="G35" s="15" t="str">
        <f t="shared" si="4"/>
        <v xml:space="preserve">.  </v>
      </c>
    </row>
    <row r="36" spans="1:11" x14ac:dyDescent="0.25">
      <c r="G36" s="15" t="str">
        <f t="shared" si="4"/>
        <v xml:space="preserve">.  </v>
      </c>
    </row>
    <row r="37" spans="1:11" x14ac:dyDescent="0.25">
      <c r="G37" s="15" t="str">
        <f t="shared" si="4"/>
        <v xml:space="preserve">.  </v>
      </c>
    </row>
    <row r="38" spans="1:11" x14ac:dyDescent="0.25">
      <c r="G38" s="15" t="str">
        <f t="shared" si="4"/>
        <v xml:space="preserve">.  </v>
      </c>
    </row>
    <row r="39" spans="1:11" x14ac:dyDescent="0.25">
      <c r="G39" s="15" t="str">
        <f t="shared" si="4"/>
        <v xml:space="preserve">.  </v>
      </c>
    </row>
    <row r="40" spans="1:11" x14ac:dyDescent="0.25">
      <c r="G40" s="15" t="str">
        <f t="shared" si="4"/>
        <v xml:space="preserve">.  </v>
      </c>
    </row>
    <row r="41" spans="1:11" x14ac:dyDescent="0.25">
      <c r="G41" s="15" t="str">
        <f t="shared" si="4"/>
        <v xml:space="preserve">.  </v>
      </c>
    </row>
    <row r="42" spans="1:11" x14ac:dyDescent="0.25">
      <c r="G42" s="15" t="str">
        <f t="shared" si="4"/>
        <v xml:space="preserve">.  </v>
      </c>
    </row>
    <row r="43" spans="1:11" x14ac:dyDescent="0.25">
      <c r="G43" s="15" t="str">
        <f t="shared" si="4"/>
        <v xml:space="preserve">.  </v>
      </c>
    </row>
    <row r="44" spans="1:11" x14ac:dyDescent="0.25">
      <c r="G44" s="15" t="str">
        <f t="shared" si="4"/>
        <v xml:space="preserve">.  </v>
      </c>
    </row>
    <row r="45" spans="1:11" x14ac:dyDescent="0.25">
      <c r="G45" s="15" t="str">
        <f t="shared" si="4"/>
        <v xml:space="preserve">.  </v>
      </c>
    </row>
    <row r="46" spans="1:11" x14ac:dyDescent="0.25">
      <c r="G46" s="15" t="str">
        <f t="shared" si="4"/>
        <v xml:space="preserve">.  </v>
      </c>
    </row>
    <row r="47" spans="1:11" x14ac:dyDescent="0.25">
      <c r="G47" s="15" t="str">
        <f t="shared" si="4"/>
        <v xml:space="preserve">.  </v>
      </c>
    </row>
    <row r="48" spans="1:11" x14ac:dyDescent="0.25">
      <c r="G48" s="15" t="str">
        <f t="shared" si="4"/>
        <v xml:space="preserve">.  </v>
      </c>
    </row>
    <row r="49" spans="7:7" x14ac:dyDescent="0.25">
      <c r="G49" s="15" t="str">
        <f t="shared" si="4"/>
        <v xml:space="preserve">.  </v>
      </c>
    </row>
    <row r="50" spans="7:7" x14ac:dyDescent="0.25">
      <c r="G50" s="15" t="str">
        <f t="shared" si="4"/>
        <v xml:space="preserve">.  </v>
      </c>
    </row>
    <row r="51" spans="7:7" x14ac:dyDescent="0.25">
      <c r="G51" s="15" t="str">
        <f t="shared" si="4"/>
        <v xml:space="preserve">.  </v>
      </c>
    </row>
    <row r="52" spans="7:7" x14ac:dyDescent="0.25">
      <c r="G52" s="15" t="str">
        <f t="shared" si="4"/>
        <v xml:space="preserve">.  </v>
      </c>
    </row>
    <row r="53" spans="7:7" x14ac:dyDescent="0.25">
      <c r="G53" s="15" t="str">
        <f t="shared" si="4"/>
        <v xml:space="preserve">.  </v>
      </c>
    </row>
    <row r="54" spans="7:7" x14ac:dyDescent="0.25">
      <c r="G54" s="15" t="str">
        <f t="shared" si="4"/>
        <v xml:space="preserve">.  </v>
      </c>
    </row>
    <row r="55" spans="7:7" x14ac:dyDescent="0.25">
      <c r="G55" s="15" t="str">
        <f t="shared" si="4"/>
        <v xml:space="preserve">.  </v>
      </c>
    </row>
    <row r="56" spans="7:7" x14ac:dyDescent="0.25">
      <c r="G56" s="15" t="str">
        <f t="shared" si="4"/>
        <v xml:space="preserve">.  </v>
      </c>
    </row>
    <row r="57" spans="7:7" x14ac:dyDescent="0.25">
      <c r="G57" s="15" t="str">
        <f t="shared" si="4"/>
        <v xml:space="preserve">.  </v>
      </c>
    </row>
    <row r="58" spans="7:7" x14ac:dyDescent="0.25">
      <c r="G58" s="15" t="str">
        <f t="shared" si="4"/>
        <v xml:space="preserve">.  </v>
      </c>
    </row>
    <row r="59" spans="7:7" x14ac:dyDescent="0.25">
      <c r="G59" s="15" t="str">
        <f t="shared" si="4"/>
        <v xml:space="preserve">.  </v>
      </c>
    </row>
    <row r="60" spans="7:7" x14ac:dyDescent="0.25">
      <c r="G60" s="15" t="str">
        <f t="shared" si="4"/>
        <v xml:space="preserve">.  </v>
      </c>
    </row>
    <row r="61" spans="7:7" x14ac:dyDescent="0.25">
      <c r="G61" s="15" t="str">
        <f t="shared" si="4"/>
        <v xml:space="preserve">.  </v>
      </c>
    </row>
    <row r="62" spans="7:7" x14ac:dyDescent="0.25">
      <c r="G62" s="15" t="str">
        <f t="shared" si="4"/>
        <v xml:space="preserve">.  </v>
      </c>
    </row>
    <row r="63" spans="7:7" x14ac:dyDescent="0.25">
      <c r="G63" s="15" t="str">
        <f t="shared" si="4"/>
        <v xml:space="preserve">.  </v>
      </c>
    </row>
    <row r="64" spans="7:7" x14ac:dyDescent="0.25">
      <c r="G64" s="15" t="str">
        <f t="shared" si="4"/>
        <v xml:space="preserve">.  </v>
      </c>
    </row>
    <row r="65" spans="7:7" x14ac:dyDescent="0.25">
      <c r="G65" s="15" t="str">
        <f t="shared" si="4"/>
        <v xml:space="preserve">.  </v>
      </c>
    </row>
    <row r="66" spans="7:7" x14ac:dyDescent="0.25">
      <c r="G66" s="15" t="str">
        <f t="shared" si="4"/>
        <v xml:space="preserve">.  </v>
      </c>
    </row>
    <row r="67" spans="7:7" x14ac:dyDescent="0.25">
      <c r="G67" s="15" t="str">
        <f t="shared" si="4"/>
        <v xml:space="preserve">.  </v>
      </c>
    </row>
    <row r="68" spans="7:7" x14ac:dyDescent="0.25">
      <c r="G68" s="15" t="str">
        <f t="shared" si="4"/>
        <v xml:space="preserve">.  </v>
      </c>
    </row>
    <row r="69" spans="7:7" x14ac:dyDescent="0.25">
      <c r="G69" s="15" t="str">
        <f t="shared" si="4"/>
        <v xml:space="preserve">.  </v>
      </c>
    </row>
    <row r="70" spans="7:7" x14ac:dyDescent="0.25">
      <c r="G70" s="15" t="str">
        <f t="shared" si="4"/>
        <v xml:space="preserve">.  </v>
      </c>
    </row>
    <row r="71" spans="7:7" x14ac:dyDescent="0.25">
      <c r="G71" s="15" t="str">
        <f t="shared" si="4"/>
        <v xml:space="preserve">.  </v>
      </c>
    </row>
    <row r="72" spans="7:7" x14ac:dyDescent="0.25">
      <c r="G72" s="15" t="str">
        <f t="shared" si="4"/>
        <v xml:space="preserve">.  </v>
      </c>
    </row>
    <row r="73" spans="7:7" x14ac:dyDescent="0.25">
      <c r="G73" s="15" t="str">
        <f t="shared" si="4"/>
        <v xml:space="preserve">.  </v>
      </c>
    </row>
    <row r="74" spans="7:7" x14ac:dyDescent="0.25">
      <c r="G74" s="15" t="str">
        <f t="shared" si="4"/>
        <v xml:space="preserve">.  </v>
      </c>
    </row>
    <row r="75" spans="7:7" x14ac:dyDescent="0.25">
      <c r="G75" s="15" t="str">
        <f t="shared" si="4"/>
        <v xml:space="preserve">.  </v>
      </c>
    </row>
    <row r="76" spans="7:7" x14ac:dyDescent="0.25">
      <c r="G76" s="15" t="str">
        <f t="shared" si="4"/>
        <v xml:space="preserve">.  </v>
      </c>
    </row>
    <row r="77" spans="7:7" x14ac:dyDescent="0.25">
      <c r="G77" s="15" t="str">
        <f t="shared" si="4"/>
        <v xml:space="preserve">.  </v>
      </c>
    </row>
    <row r="78" spans="7:7" x14ac:dyDescent="0.25">
      <c r="G78" s="15" t="str">
        <f t="shared" si="4"/>
        <v xml:space="preserve">.  </v>
      </c>
    </row>
    <row r="79" spans="7:7" x14ac:dyDescent="0.25">
      <c r="G79" s="15" t="str">
        <f t="shared" si="4"/>
        <v xml:space="preserve">.  </v>
      </c>
    </row>
    <row r="80" spans="7:7" x14ac:dyDescent="0.25">
      <c r="G80" s="15" t="str">
        <f t="shared" si="4"/>
        <v xml:space="preserve">.  </v>
      </c>
    </row>
    <row r="81" spans="7:7" x14ac:dyDescent="0.25">
      <c r="G81" s="15" t="str">
        <f t="shared" si="4"/>
        <v xml:space="preserve">.  </v>
      </c>
    </row>
    <row r="82" spans="7:7" x14ac:dyDescent="0.25">
      <c r="G82" s="15" t="str">
        <f t="shared" si="4"/>
        <v xml:space="preserve">.  </v>
      </c>
    </row>
    <row r="83" spans="7:7" x14ac:dyDescent="0.25">
      <c r="G83" s="15" t="str">
        <f t="shared" si="4"/>
        <v xml:space="preserve">.  </v>
      </c>
    </row>
    <row r="84" spans="7:7" x14ac:dyDescent="0.25">
      <c r="G84" s="15" t="str">
        <f t="shared" si="4"/>
        <v xml:space="preserve">.  </v>
      </c>
    </row>
    <row r="85" spans="7:7" x14ac:dyDescent="0.25">
      <c r="G85" s="15" t="str">
        <f t="shared" si="4"/>
        <v xml:space="preserve">.  </v>
      </c>
    </row>
    <row r="86" spans="7:7" x14ac:dyDescent="0.25">
      <c r="G86" s="15" t="str">
        <f t="shared" si="4"/>
        <v xml:space="preserve">.  </v>
      </c>
    </row>
    <row r="87" spans="7:7" x14ac:dyDescent="0.25">
      <c r="G87" s="15" t="str">
        <f t="shared" si="4"/>
        <v xml:space="preserve">.  </v>
      </c>
    </row>
    <row r="88" spans="7:7" x14ac:dyDescent="0.25">
      <c r="G88" s="15" t="str">
        <f t="shared" si="4"/>
        <v xml:space="preserve">.  </v>
      </c>
    </row>
    <row r="89" spans="7:7" x14ac:dyDescent="0.25">
      <c r="G89" s="15" t="str">
        <f t="shared" si="4"/>
        <v xml:space="preserve">.  </v>
      </c>
    </row>
    <row r="90" spans="7:7" x14ac:dyDescent="0.25">
      <c r="G90" s="15" t="str">
        <f t="shared" si="4"/>
        <v xml:space="preserve">.  </v>
      </c>
    </row>
    <row r="91" spans="7:7" x14ac:dyDescent="0.25">
      <c r="G91" s="15" t="str">
        <f t="shared" si="4"/>
        <v xml:space="preserve">.  </v>
      </c>
    </row>
    <row r="92" spans="7:7" x14ac:dyDescent="0.25">
      <c r="G92" s="15" t="str">
        <f t="shared" si="4"/>
        <v xml:space="preserve">.  </v>
      </c>
    </row>
    <row r="93" spans="7:7" x14ac:dyDescent="0.25">
      <c r="G93" s="15" t="str">
        <f t="shared" si="4"/>
        <v xml:space="preserve">.  </v>
      </c>
    </row>
    <row r="94" spans="7:7" x14ac:dyDescent="0.25">
      <c r="G94" s="15" t="str">
        <f t="shared" si="4"/>
        <v xml:space="preserve">.  </v>
      </c>
    </row>
    <row r="95" spans="7:7" x14ac:dyDescent="0.25">
      <c r="G95" s="15" t="str">
        <f t="shared" si="4"/>
        <v xml:space="preserve">.  </v>
      </c>
    </row>
    <row r="96" spans="7:7" x14ac:dyDescent="0.25">
      <c r="G96" s="15" t="str">
        <f t="shared" si="4"/>
        <v xml:space="preserve">.  </v>
      </c>
    </row>
    <row r="97" spans="7:7" x14ac:dyDescent="0.25">
      <c r="G97" s="15" t="str">
        <f t="shared" si="4"/>
        <v xml:space="preserve">.  </v>
      </c>
    </row>
    <row r="98" spans="7:7" x14ac:dyDescent="0.25">
      <c r="G98" s="15" t="str">
        <f t="shared" ref="G98:G161" si="5">_xlfn.CONCAT(A99,".  ",B99)</f>
        <v xml:space="preserve">.  </v>
      </c>
    </row>
    <row r="99" spans="7:7" x14ac:dyDescent="0.25">
      <c r="G99" s="15" t="str">
        <f t="shared" si="5"/>
        <v xml:space="preserve">.  </v>
      </c>
    </row>
    <row r="100" spans="7:7" x14ac:dyDescent="0.25">
      <c r="G100" s="15" t="str">
        <f t="shared" si="5"/>
        <v xml:space="preserve">.  </v>
      </c>
    </row>
    <row r="101" spans="7:7" x14ac:dyDescent="0.25">
      <c r="G101" s="15" t="str">
        <f t="shared" si="5"/>
        <v xml:space="preserve">.  </v>
      </c>
    </row>
    <row r="102" spans="7:7" x14ac:dyDescent="0.25">
      <c r="G102" s="15" t="str">
        <f t="shared" si="5"/>
        <v xml:space="preserve">.  </v>
      </c>
    </row>
    <row r="103" spans="7:7" x14ac:dyDescent="0.25">
      <c r="G103" s="15" t="str">
        <f t="shared" si="5"/>
        <v xml:space="preserve">.  </v>
      </c>
    </row>
    <row r="104" spans="7:7" x14ac:dyDescent="0.25">
      <c r="G104" s="15" t="str">
        <f t="shared" si="5"/>
        <v xml:space="preserve">.  </v>
      </c>
    </row>
    <row r="105" spans="7:7" x14ac:dyDescent="0.25">
      <c r="G105" s="15" t="str">
        <f t="shared" si="5"/>
        <v xml:space="preserve">.  </v>
      </c>
    </row>
    <row r="106" spans="7:7" x14ac:dyDescent="0.25">
      <c r="G106" s="15" t="str">
        <f t="shared" si="5"/>
        <v xml:space="preserve">.  </v>
      </c>
    </row>
    <row r="107" spans="7:7" x14ac:dyDescent="0.25">
      <c r="G107" s="15" t="str">
        <f t="shared" si="5"/>
        <v xml:space="preserve">.  </v>
      </c>
    </row>
    <row r="108" spans="7:7" x14ac:dyDescent="0.25">
      <c r="G108" s="15" t="str">
        <f t="shared" si="5"/>
        <v xml:space="preserve">.  </v>
      </c>
    </row>
    <row r="109" spans="7:7" x14ac:dyDescent="0.25">
      <c r="G109" s="15" t="str">
        <f t="shared" si="5"/>
        <v xml:space="preserve">.  </v>
      </c>
    </row>
    <row r="110" spans="7:7" x14ac:dyDescent="0.25">
      <c r="G110" s="15" t="str">
        <f t="shared" si="5"/>
        <v xml:space="preserve">.  </v>
      </c>
    </row>
    <row r="111" spans="7:7" x14ac:dyDescent="0.25">
      <c r="G111" s="15" t="str">
        <f t="shared" si="5"/>
        <v xml:space="preserve">.  </v>
      </c>
    </row>
    <row r="112" spans="7:7" x14ac:dyDescent="0.25">
      <c r="G112" s="15" t="str">
        <f t="shared" si="5"/>
        <v xml:space="preserve">.  </v>
      </c>
    </row>
    <row r="113" spans="7:7" x14ac:dyDescent="0.25">
      <c r="G113" s="15" t="str">
        <f t="shared" si="5"/>
        <v xml:space="preserve">.  </v>
      </c>
    </row>
    <row r="114" spans="7:7" x14ac:dyDescent="0.25">
      <c r="G114" s="15" t="str">
        <f t="shared" si="5"/>
        <v xml:space="preserve">.  </v>
      </c>
    </row>
    <row r="115" spans="7:7" x14ac:dyDescent="0.25">
      <c r="G115" s="15" t="str">
        <f t="shared" si="5"/>
        <v xml:space="preserve">.  </v>
      </c>
    </row>
    <row r="116" spans="7:7" x14ac:dyDescent="0.25">
      <c r="G116" s="15" t="str">
        <f t="shared" si="5"/>
        <v xml:space="preserve">.  </v>
      </c>
    </row>
    <row r="117" spans="7:7" x14ac:dyDescent="0.25">
      <c r="G117" s="15" t="str">
        <f t="shared" si="5"/>
        <v xml:space="preserve">.  </v>
      </c>
    </row>
    <row r="118" spans="7:7" x14ac:dyDescent="0.25">
      <c r="G118" s="15" t="str">
        <f t="shared" si="5"/>
        <v xml:space="preserve">.  </v>
      </c>
    </row>
    <row r="119" spans="7:7" x14ac:dyDescent="0.25">
      <c r="G119" s="15" t="str">
        <f t="shared" si="5"/>
        <v xml:space="preserve">.  </v>
      </c>
    </row>
    <row r="120" spans="7:7" x14ac:dyDescent="0.25">
      <c r="G120" s="15" t="str">
        <f t="shared" si="5"/>
        <v xml:space="preserve">.  </v>
      </c>
    </row>
    <row r="121" spans="7:7" x14ac:dyDescent="0.25">
      <c r="G121" s="15" t="str">
        <f t="shared" si="5"/>
        <v xml:space="preserve">.  </v>
      </c>
    </row>
    <row r="122" spans="7:7" x14ac:dyDescent="0.25">
      <c r="G122" s="15" t="str">
        <f t="shared" si="5"/>
        <v xml:space="preserve">.  </v>
      </c>
    </row>
    <row r="123" spans="7:7" x14ac:dyDescent="0.25">
      <c r="G123" s="15" t="str">
        <f t="shared" si="5"/>
        <v xml:space="preserve">.  </v>
      </c>
    </row>
    <row r="124" spans="7:7" x14ac:dyDescent="0.25">
      <c r="G124" s="15" t="str">
        <f t="shared" si="5"/>
        <v xml:space="preserve">.  </v>
      </c>
    </row>
    <row r="125" spans="7:7" x14ac:dyDescent="0.25">
      <c r="G125" s="15" t="str">
        <f t="shared" si="5"/>
        <v xml:space="preserve">.  </v>
      </c>
    </row>
    <row r="126" spans="7:7" x14ac:dyDescent="0.25">
      <c r="G126" s="15" t="str">
        <f t="shared" si="5"/>
        <v xml:space="preserve">.  </v>
      </c>
    </row>
    <row r="127" spans="7:7" x14ac:dyDescent="0.25">
      <c r="G127" s="15" t="str">
        <f t="shared" si="5"/>
        <v xml:space="preserve">.  </v>
      </c>
    </row>
    <row r="128" spans="7:7" x14ac:dyDescent="0.25">
      <c r="G128" s="15" t="str">
        <f t="shared" si="5"/>
        <v xml:space="preserve">.  </v>
      </c>
    </row>
    <row r="129" spans="7:7" x14ac:dyDescent="0.25">
      <c r="G129" s="15" t="str">
        <f t="shared" si="5"/>
        <v xml:space="preserve">.  </v>
      </c>
    </row>
    <row r="130" spans="7:7" x14ac:dyDescent="0.25">
      <c r="G130" s="15" t="str">
        <f t="shared" si="5"/>
        <v xml:space="preserve">.  </v>
      </c>
    </row>
    <row r="131" spans="7:7" x14ac:dyDescent="0.25">
      <c r="G131" s="15" t="str">
        <f t="shared" si="5"/>
        <v xml:space="preserve">.  </v>
      </c>
    </row>
    <row r="132" spans="7:7" x14ac:dyDescent="0.25">
      <c r="G132" s="15" t="str">
        <f t="shared" si="5"/>
        <v xml:space="preserve">.  </v>
      </c>
    </row>
    <row r="133" spans="7:7" x14ac:dyDescent="0.25">
      <c r="G133" s="15" t="str">
        <f t="shared" si="5"/>
        <v xml:space="preserve">.  </v>
      </c>
    </row>
    <row r="134" spans="7:7" x14ac:dyDescent="0.25">
      <c r="G134" s="15" t="str">
        <f t="shared" si="5"/>
        <v xml:space="preserve">.  </v>
      </c>
    </row>
    <row r="135" spans="7:7" x14ac:dyDescent="0.25">
      <c r="G135" s="15" t="str">
        <f t="shared" si="5"/>
        <v xml:space="preserve">.  </v>
      </c>
    </row>
    <row r="136" spans="7:7" x14ac:dyDescent="0.25">
      <c r="G136" s="15" t="str">
        <f t="shared" si="5"/>
        <v xml:space="preserve">.  </v>
      </c>
    </row>
    <row r="137" spans="7:7" x14ac:dyDescent="0.25">
      <c r="G137" s="15" t="str">
        <f t="shared" si="5"/>
        <v xml:space="preserve">.  </v>
      </c>
    </row>
    <row r="138" spans="7:7" x14ac:dyDescent="0.25">
      <c r="G138" s="15" t="str">
        <f t="shared" si="5"/>
        <v xml:space="preserve">.  </v>
      </c>
    </row>
    <row r="139" spans="7:7" x14ac:dyDescent="0.25">
      <c r="G139" s="15" t="str">
        <f t="shared" si="5"/>
        <v xml:space="preserve">.  </v>
      </c>
    </row>
    <row r="140" spans="7:7" x14ac:dyDescent="0.25">
      <c r="G140" s="15" t="str">
        <f t="shared" si="5"/>
        <v xml:space="preserve">.  </v>
      </c>
    </row>
    <row r="141" spans="7:7" x14ac:dyDescent="0.25">
      <c r="G141" s="15" t="str">
        <f t="shared" si="5"/>
        <v xml:space="preserve">.  </v>
      </c>
    </row>
    <row r="142" spans="7:7" x14ac:dyDescent="0.25">
      <c r="G142" s="15" t="str">
        <f t="shared" si="5"/>
        <v xml:space="preserve">.  </v>
      </c>
    </row>
    <row r="143" spans="7:7" x14ac:dyDescent="0.25">
      <c r="G143" s="15" t="str">
        <f t="shared" si="5"/>
        <v xml:space="preserve">.  </v>
      </c>
    </row>
    <row r="144" spans="7:7" x14ac:dyDescent="0.25">
      <c r="G144" s="15" t="str">
        <f t="shared" si="5"/>
        <v xml:space="preserve">.  </v>
      </c>
    </row>
    <row r="145" spans="7:7" x14ac:dyDescent="0.25">
      <c r="G145" s="15" t="str">
        <f t="shared" si="5"/>
        <v xml:space="preserve">.  </v>
      </c>
    </row>
    <row r="146" spans="7:7" x14ac:dyDescent="0.25">
      <c r="G146" s="15" t="str">
        <f t="shared" si="5"/>
        <v xml:space="preserve">.  </v>
      </c>
    </row>
    <row r="147" spans="7:7" x14ac:dyDescent="0.25">
      <c r="G147" s="15" t="str">
        <f t="shared" si="5"/>
        <v xml:space="preserve">.  </v>
      </c>
    </row>
    <row r="148" spans="7:7" x14ac:dyDescent="0.25">
      <c r="G148" s="15" t="str">
        <f t="shared" si="5"/>
        <v xml:space="preserve">.  </v>
      </c>
    </row>
    <row r="149" spans="7:7" x14ac:dyDescent="0.25">
      <c r="G149" s="15" t="str">
        <f t="shared" si="5"/>
        <v xml:space="preserve">.  </v>
      </c>
    </row>
    <row r="150" spans="7:7" x14ac:dyDescent="0.25">
      <c r="G150" s="15" t="str">
        <f t="shared" si="5"/>
        <v xml:space="preserve">.  </v>
      </c>
    </row>
    <row r="151" spans="7:7" x14ac:dyDescent="0.25">
      <c r="G151" s="15" t="str">
        <f t="shared" si="5"/>
        <v xml:space="preserve">.  </v>
      </c>
    </row>
    <row r="152" spans="7:7" x14ac:dyDescent="0.25">
      <c r="G152" s="15" t="str">
        <f t="shared" si="5"/>
        <v xml:space="preserve">.  </v>
      </c>
    </row>
    <row r="153" spans="7:7" x14ac:dyDescent="0.25">
      <c r="G153" s="15" t="str">
        <f t="shared" si="5"/>
        <v xml:space="preserve">.  </v>
      </c>
    </row>
    <row r="154" spans="7:7" x14ac:dyDescent="0.25">
      <c r="G154" s="15" t="str">
        <f t="shared" si="5"/>
        <v xml:space="preserve">.  </v>
      </c>
    </row>
    <row r="155" spans="7:7" x14ac:dyDescent="0.25">
      <c r="G155" s="15" t="str">
        <f t="shared" si="5"/>
        <v xml:space="preserve">.  </v>
      </c>
    </row>
    <row r="156" spans="7:7" x14ac:dyDescent="0.25">
      <c r="G156" s="15" t="str">
        <f t="shared" si="5"/>
        <v xml:space="preserve">.  </v>
      </c>
    </row>
    <row r="157" spans="7:7" x14ac:dyDescent="0.25">
      <c r="G157" s="15" t="str">
        <f t="shared" si="5"/>
        <v xml:space="preserve">.  </v>
      </c>
    </row>
    <row r="158" spans="7:7" x14ac:dyDescent="0.25">
      <c r="G158" s="15" t="str">
        <f t="shared" si="5"/>
        <v xml:space="preserve">.  </v>
      </c>
    </row>
    <row r="159" spans="7:7" x14ac:dyDescent="0.25">
      <c r="G159" s="15" t="str">
        <f t="shared" si="5"/>
        <v xml:space="preserve">.  </v>
      </c>
    </row>
    <row r="160" spans="7:7" x14ac:dyDescent="0.25">
      <c r="G160" s="15" t="str">
        <f t="shared" si="5"/>
        <v xml:space="preserve">.  </v>
      </c>
    </row>
    <row r="161" spans="7:7" x14ac:dyDescent="0.25">
      <c r="G161" s="15" t="str">
        <f t="shared" si="5"/>
        <v xml:space="preserve">.  </v>
      </c>
    </row>
    <row r="162" spans="7:7" x14ac:dyDescent="0.25">
      <c r="G162" s="15" t="str">
        <f t="shared" ref="G162:G186" si="6">_xlfn.CONCAT(A163,".  ",B163)</f>
        <v xml:space="preserve">.  </v>
      </c>
    </row>
    <row r="163" spans="7:7" x14ac:dyDescent="0.25">
      <c r="G163" s="15" t="str">
        <f t="shared" si="6"/>
        <v xml:space="preserve">.  </v>
      </c>
    </row>
    <row r="164" spans="7:7" x14ac:dyDescent="0.25">
      <c r="G164" s="15" t="str">
        <f t="shared" si="6"/>
        <v xml:space="preserve">.  </v>
      </c>
    </row>
    <row r="165" spans="7:7" x14ac:dyDescent="0.25">
      <c r="G165" s="15" t="str">
        <f t="shared" si="6"/>
        <v xml:space="preserve">.  </v>
      </c>
    </row>
    <row r="166" spans="7:7" x14ac:dyDescent="0.25">
      <c r="G166" s="15" t="str">
        <f t="shared" si="6"/>
        <v xml:space="preserve">.  </v>
      </c>
    </row>
    <row r="167" spans="7:7" x14ac:dyDescent="0.25">
      <c r="G167" s="15" t="str">
        <f t="shared" si="6"/>
        <v xml:space="preserve">.  </v>
      </c>
    </row>
    <row r="168" spans="7:7" x14ac:dyDescent="0.25">
      <c r="G168" s="15" t="str">
        <f t="shared" si="6"/>
        <v xml:space="preserve">.  </v>
      </c>
    </row>
    <row r="169" spans="7:7" x14ac:dyDescent="0.25">
      <c r="G169" s="15" t="str">
        <f t="shared" si="6"/>
        <v xml:space="preserve">.  </v>
      </c>
    </row>
    <row r="170" spans="7:7" x14ac:dyDescent="0.25">
      <c r="G170" s="15" t="str">
        <f t="shared" si="6"/>
        <v xml:space="preserve">.  </v>
      </c>
    </row>
    <row r="171" spans="7:7" x14ac:dyDescent="0.25">
      <c r="G171" s="15" t="str">
        <f t="shared" si="6"/>
        <v xml:space="preserve">.  </v>
      </c>
    </row>
    <row r="172" spans="7:7" x14ac:dyDescent="0.25">
      <c r="G172" s="15" t="str">
        <f t="shared" si="6"/>
        <v xml:space="preserve">.  </v>
      </c>
    </row>
    <row r="173" spans="7:7" x14ac:dyDescent="0.25">
      <c r="G173" s="15" t="str">
        <f t="shared" si="6"/>
        <v xml:space="preserve">.  </v>
      </c>
    </row>
    <row r="174" spans="7:7" x14ac:dyDescent="0.25">
      <c r="G174" s="15" t="str">
        <f t="shared" si="6"/>
        <v xml:space="preserve">.  </v>
      </c>
    </row>
    <row r="175" spans="7:7" x14ac:dyDescent="0.25">
      <c r="G175" s="15" t="str">
        <f t="shared" si="6"/>
        <v xml:space="preserve">.  </v>
      </c>
    </row>
    <row r="176" spans="7:7" x14ac:dyDescent="0.25">
      <c r="G176" s="15" t="str">
        <f t="shared" si="6"/>
        <v xml:space="preserve">.  </v>
      </c>
    </row>
    <row r="177" spans="7:7" x14ac:dyDescent="0.25">
      <c r="G177" s="15" t="str">
        <f t="shared" si="6"/>
        <v xml:space="preserve">.  </v>
      </c>
    </row>
    <row r="178" spans="7:7" x14ac:dyDescent="0.25">
      <c r="G178" s="15" t="str">
        <f t="shared" si="6"/>
        <v xml:space="preserve">.  </v>
      </c>
    </row>
    <row r="179" spans="7:7" x14ac:dyDescent="0.25">
      <c r="G179" s="15" t="str">
        <f t="shared" si="6"/>
        <v xml:space="preserve">.  </v>
      </c>
    </row>
    <row r="180" spans="7:7" x14ac:dyDescent="0.25">
      <c r="G180" s="15" t="str">
        <f t="shared" si="6"/>
        <v xml:space="preserve">.  </v>
      </c>
    </row>
    <row r="181" spans="7:7" x14ac:dyDescent="0.25">
      <c r="G181" s="15" t="str">
        <f t="shared" si="6"/>
        <v xml:space="preserve">.  </v>
      </c>
    </row>
    <row r="182" spans="7:7" x14ac:dyDescent="0.25">
      <c r="G182" s="15" t="str">
        <f t="shared" si="6"/>
        <v xml:space="preserve">.  </v>
      </c>
    </row>
    <row r="183" spans="7:7" x14ac:dyDescent="0.25">
      <c r="G183" s="15" t="str">
        <f t="shared" si="6"/>
        <v xml:space="preserve">.  </v>
      </c>
    </row>
    <row r="184" spans="7:7" x14ac:dyDescent="0.25">
      <c r="G184" s="15" t="str">
        <f t="shared" si="6"/>
        <v xml:space="preserve">.  </v>
      </c>
    </row>
    <row r="185" spans="7:7" x14ac:dyDescent="0.25">
      <c r="G185" s="15" t="str">
        <f t="shared" si="6"/>
        <v xml:space="preserve">.  </v>
      </c>
    </row>
    <row r="186" spans="7:7" x14ac:dyDescent="0.25">
      <c r="G186" s="15" t="str">
        <f t="shared" si="6"/>
        <v xml:space="preserve">.  </v>
      </c>
    </row>
  </sheetData>
  <mergeCells count="4">
    <mergeCell ref="A1:B1"/>
    <mergeCell ref="A2:B2"/>
    <mergeCell ref="A13:B13"/>
    <mergeCell ref="A22:B22"/>
  </mergeCells>
  <phoneticPr fontId="17" type="noConversion"/>
  <pageMargins left="0.7" right="0.7" top="0.75" bottom="0.75" header="0.3" footer="0.3"/>
  <drawing r:id="rId1"/>
  <legacy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126"/>
  <sheetViews>
    <sheetView showGridLines="0" topLeftCell="A33" zoomScale="115" zoomScaleNormal="115" workbookViewId="0">
      <selection activeCell="A62" sqref="A62"/>
    </sheetView>
  </sheetViews>
  <sheetFormatPr defaultColWidth="8.6640625" defaultRowHeight="13.2" x14ac:dyDescent="0.25"/>
  <cols>
    <col min="1" max="1" width="34.33203125" customWidth="1"/>
    <col min="2" max="2" width="23" customWidth="1"/>
    <col min="3" max="3" width="28.109375" customWidth="1"/>
    <col min="4" max="4" width="39.33203125" style="1" customWidth="1"/>
    <col min="5" max="5" width="13.6640625" style="1" customWidth="1"/>
    <col min="6" max="6" width="18.33203125" style="1" customWidth="1"/>
    <col min="7" max="7" width="14.33203125" style="1" customWidth="1"/>
    <col min="8" max="8" width="12.6640625" style="1" customWidth="1"/>
  </cols>
  <sheetData>
    <row r="1" spans="1:31" x14ac:dyDescent="0.25">
      <c r="A1" s="21" t="s">
        <v>2</v>
      </c>
      <c r="B1" s="22"/>
      <c r="C1" s="22"/>
      <c r="D1" s="140"/>
      <c r="E1" s="141"/>
      <c r="F1" s="135" t="s">
        <v>99</v>
      </c>
      <c r="G1" s="135"/>
      <c r="H1" s="135"/>
      <c r="I1" s="29"/>
      <c r="AB1" s="29" t="s">
        <v>363</v>
      </c>
      <c r="AC1" s="29"/>
      <c r="AD1" s="29"/>
      <c r="AE1" s="29"/>
    </row>
    <row r="2" spans="1:31" x14ac:dyDescent="0.25">
      <c r="A2" s="7" t="s">
        <v>823</v>
      </c>
      <c r="B2" t="s">
        <v>824</v>
      </c>
      <c r="E2" s="10"/>
      <c r="F2" s="1" t="s">
        <v>825</v>
      </c>
      <c r="AB2" t="s">
        <v>826</v>
      </c>
    </row>
    <row r="3" spans="1:31" x14ac:dyDescent="0.25">
      <c r="A3" s="7"/>
      <c r="B3" t="s">
        <v>827</v>
      </c>
      <c r="E3" s="10"/>
      <c r="G3" s="1" t="s">
        <v>828</v>
      </c>
    </row>
    <row r="4" spans="1:31" x14ac:dyDescent="0.25">
      <c r="A4" s="7"/>
      <c r="B4" t="s">
        <v>829</v>
      </c>
      <c r="E4" s="10"/>
      <c r="G4" s="1" t="s">
        <v>830</v>
      </c>
      <c r="AC4" t="s">
        <v>831</v>
      </c>
    </row>
    <row r="5" spans="1:31" x14ac:dyDescent="0.25">
      <c r="A5" s="7"/>
      <c r="E5" s="10"/>
      <c r="G5" s="1" t="s">
        <v>832</v>
      </c>
      <c r="AC5" t="s">
        <v>833</v>
      </c>
    </row>
    <row r="6" spans="1:31" x14ac:dyDescent="0.25">
      <c r="A6" s="7" t="s">
        <v>834</v>
      </c>
      <c r="B6" s="20" t="s">
        <v>835</v>
      </c>
      <c r="D6" s="1" t="s">
        <v>836</v>
      </c>
      <c r="E6" s="10" t="s">
        <v>837</v>
      </c>
      <c r="G6" s="16" t="s">
        <v>838</v>
      </c>
      <c r="AC6" t="s">
        <v>839</v>
      </c>
    </row>
    <row r="7" spans="1:31" x14ac:dyDescent="0.25">
      <c r="A7" s="7"/>
      <c r="B7" s="20" t="s">
        <v>840</v>
      </c>
      <c r="E7" s="10" t="s">
        <v>841</v>
      </c>
      <c r="AC7" t="s">
        <v>842</v>
      </c>
    </row>
    <row r="8" spans="1:31" ht="26.4" x14ac:dyDescent="0.25">
      <c r="A8" s="7"/>
      <c r="B8" s="20" t="s">
        <v>843</v>
      </c>
      <c r="E8" s="1" t="s">
        <v>844</v>
      </c>
      <c r="F8" s="136" t="s">
        <v>36</v>
      </c>
      <c r="G8" s="136" t="s">
        <v>845</v>
      </c>
      <c r="H8" s="136" t="s">
        <v>846</v>
      </c>
      <c r="I8" s="25" t="s">
        <v>847</v>
      </c>
    </row>
    <row r="9" spans="1:31" x14ac:dyDescent="0.25">
      <c r="A9" s="7"/>
      <c r="B9" s="20" t="s">
        <v>848</v>
      </c>
      <c r="E9" s="1" t="s">
        <v>849</v>
      </c>
      <c r="F9" s="137" t="s">
        <v>850</v>
      </c>
      <c r="G9" s="137">
        <v>1100</v>
      </c>
      <c r="H9" s="137">
        <v>1100</v>
      </c>
      <c r="I9" s="23">
        <v>0.9</v>
      </c>
    </row>
    <row r="10" spans="1:31" x14ac:dyDescent="0.25">
      <c r="A10" s="7"/>
      <c r="B10" s="20" t="s">
        <v>851</v>
      </c>
      <c r="E10" s="1" t="s">
        <v>852</v>
      </c>
      <c r="F10" s="137" t="s">
        <v>853</v>
      </c>
      <c r="G10" s="137">
        <v>2700</v>
      </c>
      <c r="H10" s="137">
        <v>898</v>
      </c>
      <c r="I10" s="23">
        <v>210</v>
      </c>
    </row>
    <row r="11" spans="1:31" x14ac:dyDescent="0.25">
      <c r="A11" s="7"/>
      <c r="B11" s="20" t="s">
        <v>854</v>
      </c>
      <c r="E11" s="1" t="s">
        <v>855</v>
      </c>
      <c r="F11" s="137" t="s">
        <v>856</v>
      </c>
      <c r="G11" s="137">
        <v>800</v>
      </c>
      <c r="H11" s="137">
        <v>837</v>
      </c>
      <c r="I11" s="23">
        <v>0.35</v>
      </c>
    </row>
    <row r="12" spans="1:31" ht="20.399999999999999" x14ac:dyDescent="0.25">
      <c r="A12" s="7"/>
      <c r="B12" s="20" t="s">
        <v>857</v>
      </c>
      <c r="E12" s="1" t="s">
        <v>354</v>
      </c>
      <c r="F12" s="137" t="s">
        <v>856</v>
      </c>
      <c r="G12" s="137">
        <v>1200</v>
      </c>
      <c r="H12" s="137">
        <v>837</v>
      </c>
      <c r="I12" s="23">
        <v>0.56000000000000005</v>
      </c>
    </row>
    <row r="13" spans="1:31" ht="20.399999999999999" x14ac:dyDescent="0.25">
      <c r="A13" s="7"/>
      <c r="B13" s="20" t="s">
        <v>858</v>
      </c>
      <c r="E13" s="1" t="s">
        <v>859</v>
      </c>
      <c r="F13" s="137" t="s">
        <v>860</v>
      </c>
      <c r="G13" s="137">
        <v>1000</v>
      </c>
      <c r="H13" s="137">
        <v>837</v>
      </c>
      <c r="I13" s="23">
        <v>0.23</v>
      </c>
    </row>
    <row r="14" spans="1:31" x14ac:dyDescent="0.25">
      <c r="A14" s="7"/>
      <c r="B14" s="20" t="s">
        <v>861</v>
      </c>
      <c r="E14" s="1" t="s">
        <v>862</v>
      </c>
      <c r="F14" s="137" t="s">
        <v>863</v>
      </c>
      <c r="G14" s="137">
        <v>2400</v>
      </c>
      <c r="H14" s="137">
        <v>840</v>
      </c>
      <c r="I14" s="23">
        <v>1.63</v>
      </c>
    </row>
    <row r="15" spans="1:31" x14ac:dyDescent="0.25">
      <c r="A15" s="7"/>
      <c r="B15" s="20" t="s">
        <v>864</v>
      </c>
      <c r="F15" s="137" t="s">
        <v>865</v>
      </c>
      <c r="G15" s="137">
        <v>1000</v>
      </c>
      <c r="H15" s="137">
        <v>840</v>
      </c>
      <c r="I15" s="23">
        <v>0.33</v>
      </c>
    </row>
    <row r="16" spans="1:31" ht="26.4" x14ac:dyDescent="0.25">
      <c r="A16" s="7"/>
      <c r="B16" s="20" t="s">
        <v>866</v>
      </c>
      <c r="F16" s="138" t="s">
        <v>867</v>
      </c>
      <c r="G16" s="137">
        <v>1000</v>
      </c>
      <c r="H16" s="137">
        <v>1094</v>
      </c>
      <c r="I16" s="23">
        <v>0.67</v>
      </c>
    </row>
    <row r="17" spans="1:9" ht="26.4" x14ac:dyDescent="0.25">
      <c r="A17" s="7"/>
      <c r="B17" s="20" t="s">
        <v>868</v>
      </c>
      <c r="F17" s="138" t="s">
        <v>869</v>
      </c>
      <c r="G17" s="137">
        <v>1000</v>
      </c>
      <c r="H17" s="137">
        <v>1055</v>
      </c>
      <c r="I17" s="23">
        <v>0.41</v>
      </c>
    </row>
    <row r="18" spans="1:9" ht="39.6" x14ac:dyDescent="0.25">
      <c r="A18" s="7"/>
      <c r="B18" s="20" t="s">
        <v>870</v>
      </c>
      <c r="F18" s="138" t="s">
        <v>871</v>
      </c>
      <c r="G18" s="137">
        <v>800</v>
      </c>
      <c r="H18" s="137">
        <v>1061</v>
      </c>
      <c r="I18" s="23">
        <v>0.22</v>
      </c>
    </row>
    <row r="19" spans="1:9" ht="26.4" x14ac:dyDescent="0.25">
      <c r="A19" s="7"/>
      <c r="B19" s="20" t="s">
        <v>872</v>
      </c>
      <c r="F19" s="138" t="s">
        <v>873</v>
      </c>
      <c r="G19" s="137">
        <v>1400</v>
      </c>
      <c r="H19" s="137">
        <v>750</v>
      </c>
      <c r="I19" s="23">
        <v>0.6</v>
      </c>
    </row>
    <row r="20" spans="1:9" ht="26.4" x14ac:dyDescent="0.25">
      <c r="A20" s="7"/>
      <c r="B20" s="20" t="s">
        <v>874</v>
      </c>
      <c r="F20" s="138" t="s">
        <v>875</v>
      </c>
      <c r="G20" s="137">
        <v>70</v>
      </c>
      <c r="H20" s="137">
        <v>840</v>
      </c>
      <c r="I20" s="23">
        <v>3.7999999999999999E-2</v>
      </c>
    </row>
    <row r="21" spans="1:9" ht="20.399999999999999" x14ac:dyDescent="0.25">
      <c r="A21" s="7"/>
      <c r="B21" s="20" t="s">
        <v>876</v>
      </c>
      <c r="F21" s="138" t="s">
        <v>877</v>
      </c>
      <c r="G21" s="137">
        <v>380</v>
      </c>
      <c r="H21" s="137">
        <v>1759</v>
      </c>
      <c r="I21" s="23">
        <v>9.0999999999999998E-2</v>
      </c>
    </row>
    <row r="22" spans="1:9" ht="13.8" thickBot="1" x14ac:dyDescent="0.3">
      <c r="A22" s="8"/>
      <c r="B22" s="9"/>
      <c r="C22" s="9"/>
      <c r="D22" s="13"/>
      <c r="E22" s="13"/>
      <c r="F22" s="138" t="s">
        <v>878</v>
      </c>
      <c r="G22" s="137">
        <v>560</v>
      </c>
      <c r="H22" s="137">
        <v>1759</v>
      </c>
      <c r="I22" s="23">
        <v>0.13400000000000001</v>
      </c>
    </row>
    <row r="23" spans="1:9" x14ac:dyDescent="0.25">
      <c r="F23" s="138" t="s">
        <v>879</v>
      </c>
      <c r="G23" s="137">
        <v>670</v>
      </c>
      <c r="H23" s="137">
        <v>1759</v>
      </c>
      <c r="I23" s="23">
        <v>0.17499999999999999</v>
      </c>
    </row>
    <row r="24" spans="1:9" x14ac:dyDescent="0.25">
      <c r="F24" s="138" t="s">
        <v>880</v>
      </c>
      <c r="G24" s="137">
        <v>410</v>
      </c>
      <c r="H24" s="137">
        <v>2805</v>
      </c>
      <c r="I24" s="23">
        <v>0.104</v>
      </c>
    </row>
    <row r="25" spans="1:9" x14ac:dyDescent="0.25">
      <c r="F25" s="138" t="s">
        <v>881</v>
      </c>
      <c r="G25" s="137">
        <v>580</v>
      </c>
      <c r="H25" s="137">
        <v>1759</v>
      </c>
      <c r="I25" s="23">
        <v>0.121</v>
      </c>
    </row>
    <row r="26" spans="1:9" ht="39.6" x14ac:dyDescent="0.25">
      <c r="F26" s="138" t="s">
        <v>882</v>
      </c>
      <c r="G26" s="137">
        <v>400</v>
      </c>
      <c r="H26" s="137">
        <v>1420</v>
      </c>
      <c r="I26" s="23">
        <v>9.5000000000000001E-2</v>
      </c>
    </row>
    <row r="27" spans="1:9" x14ac:dyDescent="0.25">
      <c r="F27" s="138" t="s">
        <v>883</v>
      </c>
      <c r="G27" s="138">
        <v>100</v>
      </c>
      <c r="H27" s="138">
        <v>2210</v>
      </c>
      <c r="I27" s="24">
        <v>0.04</v>
      </c>
    </row>
    <row r="28" spans="1:9" x14ac:dyDescent="0.25">
      <c r="F28" s="138" t="s">
        <v>884</v>
      </c>
      <c r="G28" s="137">
        <v>470</v>
      </c>
      <c r="H28" s="137">
        <v>1600</v>
      </c>
      <c r="I28" s="23">
        <v>0.11</v>
      </c>
    </row>
    <row r="29" spans="1:9" ht="13.8" thickBot="1" x14ac:dyDescent="0.3"/>
    <row r="30" spans="1:9" x14ac:dyDescent="0.25">
      <c r="A30" s="21" t="s">
        <v>384</v>
      </c>
      <c r="B30" s="22"/>
      <c r="C30" s="22"/>
      <c r="D30" s="140"/>
      <c r="E30" s="141"/>
    </row>
    <row r="31" spans="1:9" ht="26.4" x14ac:dyDescent="0.25">
      <c r="A31" s="278" t="s">
        <v>885</v>
      </c>
      <c r="B31" s="279" t="s">
        <v>886</v>
      </c>
      <c r="C31" s="280" t="s">
        <v>887</v>
      </c>
      <c r="D31" s="623" t="s">
        <v>348</v>
      </c>
    </row>
    <row r="32" spans="1:9" x14ac:dyDescent="0.25">
      <c r="A32" s="281" t="s">
        <v>888</v>
      </c>
      <c r="B32" s="282">
        <v>0.434</v>
      </c>
      <c r="C32" s="283" t="s">
        <v>889</v>
      </c>
      <c r="D32" s="1" t="s">
        <v>890</v>
      </c>
    </row>
    <row r="33" spans="1:4" x14ac:dyDescent="0.25">
      <c r="A33" s="281" t="s">
        <v>891</v>
      </c>
      <c r="B33" s="282">
        <v>0.435</v>
      </c>
      <c r="C33" s="283" t="s">
        <v>892</v>
      </c>
    </row>
    <row r="34" spans="1:4" x14ac:dyDescent="0.25">
      <c r="A34" s="281" t="s">
        <v>893</v>
      </c>
      <c r="B34" s="282">
        <v>0.26600000000000001</v>
      </c>
      <c r="C34" s="283" t="s">
        <v>889</v>
      </c>
      <c r="D34" s="160" t="s">
        <v>894</v>
      </c>
    </row>
    <row r="35" spans="1:4" x14ac:dyDescent="0.25">
      <c r="A35" s="32" t="s">
        <v>895</v>
      </c>
      <c r="B35" s="282">
        <v>0.26</v>
      </c>
      <c r="C35" s="283" t="s">
        <v>889</v>
      </c>
      <c r="D35" s="1" t="s">
        <v>894</v>
      </c>
    </row>
    <row r="36" spans="1:4" x14ac:dyDescent="0.25">
      <c r="A36" s="281" t="s">
        <v>896</v>
      </c>
      <c r="B36" s="284">
        <v>3.4000000000000002E-2</v>
      </c>
      <c r="C36" s="283" t="s">
        <v>889</v>
      </c>
      <c r="D36" s="624" t="s">
        <v>897</v>
      </c>
    </row>
    <row r="37" spans="1:4" ht="13.8" thickBot="1" x14ac:dyDescent="0.3">
      <c r="A37" s="50" t="s">
        <v>898</v>
      </c>
      <c r="B37" s="285">
        <f>-B32</f>
        <v>-0.434</v>
      </c>
      <c r="C37" s="283" t="s">
        <v>889</v>
      </c>
    </row>
    <row r="40" spans="1:4" x14ac:dyDescent="0.25">
      <c r="A40" t="s">
        <v>899</v>
      </c>
    </row>
    <row r="41" spans="1:4" x14ac:dyDescent="0.25">
      <c r="B41" t="s">
        <v>397</v>
      </c>
      <c r="C41" t="s">
        <v>900</v>
      </c>
    </row>
    <row r="42" spans="1:4" x14ac:dyDescent="0.25">
      <c r="B42" s="281" t="s">
        <v>888</v>
      </c>
      <c r="C42" t="s">
        <v>439</v>
      </c>
    </row>
    <row r="43" spans="1:4" x14ac:dyDescent="0.25">
      <c r="B43" s="281" t="s">
        <v>891</v>
      </c>
      <c r="C43" t="s">
        <v>440</v>
      </c>
    </row>
    <row r="44" spans="1:4" x14ac:dyDescent="0.25">
      <c r="B44" s="281" t="s">
        <v>893</v>
      </c>
      <c r="C44">
        <v>0</v>
      </c>
    </row>
    <row r="45" spans="1:4" x14ac:dyDescent="0.25">
      <c r="B45" s="32" t="s">
        <v>895</v>
      </c>
      <c r="C45">
        <v>0</v>
      </c>
    </row>
    <row r="46" spans="1:4" x14ac:dyDescent="0.25">
      <c r="B46" s="281" t="s">
        <v>896</v>
      </c>
      <c r="C46">
        <v>0</v>
      </c>
    </row>
    <row r="47" spans="1:4" x14ac:dyDescent="0.25">
      <c r="B47" s="286"/>
      <c r="C47">
        <v>0</v>
      </c>
    </row>
    <row r="48" spans="1:4" x14ac:dyDescent="0.25">
      <c r="B48" s="286"/>
      <c r="C48">
        <v>0</v>
      </c>
    </row>
    <row r="49" spans="1:3" x14ac:dyDescent="0.25">
      <c r="B49" s="286"/>
      <c r="C49">
        <v>0</v>
      </c>
    </row>
    <row r="50" spans="1:3" x14ac:dyDescent="0.25">
      <c r="B50" s="286"/>
      <c r="C50">
        <v>0</v>
      </c>
    </row>
    <row r="51" spans="1:3" x14ac:dyDescent="0.25">
      <c r="B51" s="286"/>
      <c r="C51">
        <v>0</v>
      </c>
    </row>
    <row r="52" spans="1:3" x14ac:dyDescent="0.25">
      <c r="B52" s="286"/>
      <c r="C52">
        <v>0</v>
      </c>
    </row>
    <row r="53" spans="1:3" x14ac:dyDescent="0.25">
      <c r="B53" s="286"/>
      <c r="C53">
        <v>0</v>
      </c>
    </row>
    <row r="58" spans="1:3" x14ac:dyDescent="0.25">
      <c r="A58" s="27" t="s">
        <v>901</v>
      </c>
    </row>
    <row r="59" spans="1:3" x14ac:dyDescent="0.25">
      <c r="A59" s="23" t="s">
        <v>570</v>
      </c>
    </row>
    <row r="60" spans="1:3" x14ac:dyDescent="0.25">
      <c r="A60" s="23" t="s">
        <v>572</v>
      </c>
    </row>
    <row r="66" spans="1:8" ht="13.8" thickBot="1" x14ac:dyDescent="0.3"/>
    <row r="67" spans="1:8" ht="27" thickBot="1" x14ac:dyDescent="0.3">
      <c r="A67" s="55" t="s">
        <v>902</v>
      </c>
      <c r="B67" s="56" t="s">
        <v>141</v>
      </c>
      <c r="D67" s="130" t="s">
        <v>844</v>
      </c>
      <c r="E67" s="130" t="s">
        <v>415</v>
      </c>
      <c r="F67" s="130" t="s">
        <v>433</v>
      </c>
      <c r="G67" s="130" t="s">
        <v>414</v>
      </c>
      <c r="H67" s="130" t="s">
        <v>434</v>
      </c>
    </row>
    <row r="68" spans="1:8" x14ac:dyDescent="0.25">
      <c r="A68" s="57"/>
      <c r="B68" s="60"/>
      <c r="D68" s="72"/>
      <c r="E68" s="14"/>
      <c r="F68" s="72"/>
      <c r="G68" s="72"/>
      <c r="H68" s="72"/>
    </row>
    <row r="69" spans="1:8" ht="44.4" x14ac:dyDescent="0.25">
      <c r="A69" s="58" t="s">
        <v>903</v>
      </c>
      <c r="B69" s="520" t="s">
        <v>904</v>
      </c>
      <c r="D69" s="131" t="s">
        <v>905</v>
      </c>
      <c r="E69" s="131" t="s">
        <v>4</v>
      </c>
      <c r="F69" s="131">
        <v>6.42</v>
      </c>
      <c r="G69" s="133" t="s">
        <v>906</v>
      </c>
      <c r="H69" s="132">
        <v>45384</v>
      </c>
    </row>
    <row r="70" spans="1:8" ht="34.799999999999997" thickBot="1" x14ac:dyDescent="0.3">
      <c r="A70" s="59" t="s">
        <v>907</v>
      </c>
      <c r="B70" s="520" t="s">
        <v>908</v>
      </c>
      <c r="D70" s="131" t="s">
        <v>909</v>
      </c>
      <c r="E70" s="131" t="s">
        <v>4</v>
      </c>
      <c r="F70" s="131">
        <v>15.1</v>
      </c>
      <c r="G70" s="131"/>
      <c r="H70" s="131"/>
    </row>
    <row r="71" spans="1:8" ht="58.2" customHeight="1" thickBot="1" x14ac:dyDescent="0.3">
      <c r="A71" s="519" t="s">
        <v>910</v>
      </c>
      <c r="B71" s="520" t="s">
        <v>911</v>
      </c>
      <c r="D71" s="131" t="s">
        <v>912</v>
      </c>
      <c r="E71" s="131" t="s">
        <v>4</v>
      </c>
      <c r="F71" s="131">
        <v>5.9</v>
      </c>
      <c r="G71" s="131"/>
      <c r="H71" s="131"/>
    </row>
    <row r="72" spans="1:8" ht="63.6" customHeight="1" x14ac:dyDescent="0.25">
      <c r="B72" s="520" t="s">
        <v>913</v>
      </c>
      <c r="D72" s="131" t="s">
        <v>914</v>
      </c>
      <c r="E72" s="131" t="s">
        <v>4</v>
      </c>
      <c r="F72" s="131">
        <v>1.0900000000000001</v>
      </c>
      <c r="G72" s="133" t="s">
        <v>915</v>
      </c>
      <c r="H72" s="132">
        <v>46504</v>
      </c>
    </row>
    <row r="73" spans="1:8" x14ac:dyDescent="0.25">
      <c r="B73" s="520" t="s">
        <v>916</v>
      </c>
      <c r="D73" s="143" t="s">
        <v>917</v>
      </c>
      <c r="E73" s="131" t="s">
        <v>4</v>
      </c>
      <c r="F73" s="131">
        <v>4.8099999999999996</v>
      </c>
      <c r="G73" s="133" t="s">
        <v>918</v>
      </c>
      <c r="H73" s="132">
        <v>46496</v>
      </c>
    </row>
    <row r="74" spans="1:8" x14ac:dyDescent="0.25">
      <c r="B74" s="520" t="s">
        <v>919</v>
      </c>
      <c r="D74" s="143" t="s">
        <v>920</v>
      </c>
      <c r="E74" s="131" t="s">
        <v>921</v>
      </c>
      <c r="F74" s="131">
        <v>10</v>
      </c>
      <c r="G74" s="131"/>
      <c r="H74" s="131"/>
    </row>
    <row r="75" spans="1:8" x14ac:dyDescent="0.25">
      <c r="B75" s="520" t="s">
        <v>86</v>
      </c>
      <c r="D75" s="143" t="s">
        <v>922</v>
      </c>
      <c r="E75" s="131" t="s">
        <v>4</v>
      </c>
      <c r="F75" s="131">
        <v>4.28</v>
      </c>
      <c r="G75" s="133" t="s">
        <v>923</v>
      </c>
      <c r="H75" s="132">
        <v>46324</v>
      </c>
    </row>
    <row r="76" spans="1:8" x14ac:dyDescent="0.25">
      <c r="B76" s="520" t="s">
        <v>924</v>
      </c>
      <c r="D76" s="143" t="s">
        <v>925</v>
      </c>
      <c r="E76" s="131" t="s">
        <v>4</v>
      </c>
      <c r="F76" s="131">
        <v>3.8</v>
      </c>
      <c r="G76" s="133" t="s">
        <v>926</v>
      </c>
      <c r="H76" s="132">
        <v>46476</v>
      </c>
    </row>
    <row r="77" spans="1:8" x14ac:dyDescent="0.25">
      <c r="B77" s="520" t="s">
        <v>927</v>
      </c>
      <c r="D77" s="143" t="s">
        <v>928</v>
      </c>
      <c r="E77" s="131" t="s">
        <v>4</v>
      </c>
      <c r="F77" s="131">
        <v>2.5</v>
      </c>
      <c r="G77" s="131"/>
      <c r="H77" s="131"/>
    </row>
    <row r="78" spans="1:8" ht="13.8" thickBot="1" x14ac:dyDescent="0.3">
      <c r="B78" s="521" t="s">
        <v>929</v>
      </c>
      <c r="D78" s="143" t="s">
        <v>930</v>
      </c>
      <c r="E78" s="131" t="s">
        <v>4</v>
      </c>
      <c r="F78" s="131">
        <v>63.7</v>
      </c>
      <c r="G78" s="131"/>
      <c r="H78" s="131"/>
    </row>
    <row r="79" spans="1:8" x14ac:dyDescent="0.25">
      <c r="B79" s="520" t="s">
        <v>931</v>
      </c>
      <c r="D79" s="143" t="s">
        <v>932</v>
      </c>
      <c r="E79" s="131" t="s">
        <v>4</v>
      </c>
      <c r="F79" s="131">
        <v>10.4</v>
      </c>
      <c r="G79" s="133" t="s">
        <v>933</v>
      </c>
      <c r="H79" s="132">
        <v>46650</v>
      </c>
    </row>
    <row r="80" spans="1:8" x14ac:dyDescent="0.25">
      <c r="D80" s="143" t="s">
        <v>934</v>
      </c>
      <c r="E80" s="131" t="s">
        <v>935</v>
      </c>
      <c r="F80" s="131">
        <v>3572</v>
      </c>
      <c r="G80" s="133" t="s">
        <v>936</v>
      </c>
      <c r="H80" s="132">
        <v>46021</v>
      </c>
    </row>
    <row r="81" spans="4:8" x14ac:dyDescent="0.25">
      <c r="D81" s="143" t="s">
        <v>937</v>
      </c>
      <c r="E81" s="131" t="s">
        <v>470</v>
      </c>
      <c r="F81" s="131">
        <v>-49.6</v>
      </c>
      <c r="G81" s="131"/>
      <c r="H81" s="131"/>
    </row>
    <row r="82" spans="4:8" x14ac:dyDescent="0.25">
      <c r="D82" s="144" t="s">
        <v>938</v>
      </c>
      <c r="E82" s="131" t="s">
        <v>4</v>
      </c>
      <c r="F82" s="131">
        <v>5.13</v>
      </c>
      <c r="G82" s="131"/>
      <c r="H82" s="131"/>
    </row>
    <row r="83" spans="4:8" x14ac:dyDescent="0.25">
      <c r="D83" s="143" t="s">
        <v>939</v>
      </c>
      <c r="E83" s="131" t="s">
        <v>921</v>
      </c>
      <c r="F83" s="131">
        <v>-900</v>
      </c>
      <c r="G83" s="131"/>
      <c r="H83" s="131"/>
    </row>
    <row r="84" spans="4:8" x14ac:dyDescent="0.25">
      <c r="D84" s="145" t="s">
        <v>940</v>
      </c>
      <c r="E84" s="134" t="s">
        <v>921</v>
      </c>
      <c r="F84" s="134">
        <v>-576</v>
      </c>
      <c r="G84" s="139" t="s">
        <v>941</v>
      </c>
      <c r="H84" s="142">
        <v>46909</v>
      </c>
    </row>
    <row r="85" spans="4:8" x14ac:dyDescent="0.25">
      <c r="D85" s="143" t="s">
        <v>942</v>
      </c>
      <c r="E85" s="131" t="s">
        <v>4</v>
      </c>
      <c r="F85" s="131">
        <v>27.03</v>
      </c>
      <c r="G85" s="131"/>
      <c r="H85" s="131"/>
    </row>
    <row r="86" spans="4:8" x14ac:dyDescent="0.25">
      <c r="D86" s="143" t="s">
        <v>943</v>
      </c>
      <c r="E86" s="131" t="s">
        <v>921</v>
      </c>
      <c r="F86" s="131">
        <v>-454</v>
      </c>
      <c r="G86" s="133" t="s">
        <v>944</v>
      </c>
      <c r="H86" s="132">
        <v>46740</v>
      </c>
    </row>
    <row r="87" spans="4:8" x14ac:dyDescent="0.25">
      <c r="D87" s="143" t="s">
        <v>945</v>
      </c>
      <c r="E87" s="131" t="s">
        <v>4</v>
      </c>
      <c r="F87" s="131">
        <v>3.39</v>
      </c>
      <c r="G87" s="133" t="s">
        <v>946</v>
      </c>
      <c r="H87" s="132">
        <v>46476</v>
      </c>
    </row>
    <row r="88" spans="4:8" x14ac:dyDescent="0.25">
      <c r="D88" s="143" t="s">
        <v>947</v>
      </c>
      <c r="E88" s="131" t="s">
        <v>4</v>
      </c>
      <c r="F88" s="131">
        <v>3.48</v>
      </c>
      <c r="G88" s="133" t="s">
        <v>946</v>
      </c>
      <c r="H88" s="132">
        <v>46476</v>
      </c>
    </row>
    <row r="89" spans="4:8" x14ac:dyDescent="0.25">
      <c r="D89" s="143" t="s">
        <v>948</v>
      </c>
      <c r="E89" s="131" t="s">
        <v>921</v>
      </c>
      <c r="F89" s="131">
        <v>-863</v>
      </c>
      <c r="G89" s="133" t="s">
        <v>949</v>
      </c>
      <c r="H89" s="132">
        <v>45687</v>
      </c>
    </row>
    <row r="90" spans="4:8" x14ac:dyDescent="0.25">
      <c r="D90" s="143" t="s">
        <v>950</v>
      </c>
      <c r="E90" s="131" t="s">
        <v>4</v>
      </c>
      <c r="F90" s="131">
        <v>-7.66</v>
      </c>
      <c r="G90" s="131"/>
      <c r="H90" s="131"/>
    </row>
    <row r="91" spans="4:8" x14ac:dyDescent="0.25">
      <c r="D91" s="143" t="s">
        <v>951</v>
      </c>
      <c r="E91" s="131" t="s">
        <v>4</v>
      </c>
      <c r="F91" s="131">
        <v>3.77</v>
      </c>
      <c r="G91" s="131"/>
      <c r="H91" s="131"/>
    </row>
    <row r="92" spans="4:8" x14ac:dyDescent="0.25">
      <c r="D92" s="143" t="s">
        <v>952</v>
      </c>
      <c r="E92" s="131" t="s">
        <v>4</v>
      </c>
      <c r="F92" s="131">
        <v>16.600000000000001</v>
      </c>
      <c r="G92" s="131"/>
      <c r="H92" s="131"/>
    </row>
    <row r="93" spans="4:8" x14ac:dyDescent="0.25">
      <c r="D93" s="143" t="s">
        <v>953</v>
      </c>
      <c r="E93" s="131" t="s">
        <v>4</v>
      </c>
      <c r="F93" s="131">
        <v>37.25</v>
      </c>
      <c r="G93" s="131" t="s">
        <v>954</v>
      </c>
      <c r="H93" s="131">
        <v>45502</v>
      </c>
    </row>
    <row r="94" spans="4:8" x14ac:dyDescent="0.25">
      <c r="D94" s="143" t="s">
        <v>955</v>
      </c>
      <c r="E94" s="131" t="s">
        <v>956</v>
      </c>
      <c r="F94" s="131">
        <v>213</v>
      </c>
      <c r="G94" s="131"/>
      <c r="H94" s="131"/>
    </row>
    <row r="95" spans="4:8" x14ac:dyDescent="0.25">
      <c r="D95" s="143" t="s">
        <v>957</v>
      </c>
      <c r="E95" s="131" t="s">
        <v>935</v>
      </c>
      <c r="F95" s="131">
        <v>0.12</v>
      </c>
      <c r="G95" s="133" t="s">
        <v>958</v>
      </c>
      <c r="H95" s="132">
        <v>46334</v>
      </c>
    </row>
    <row r="96" spans="4:8" x14ac:dyDescent="0.25">
      <c r="D96" s="143" t="s">
        <v>959</v>
      </c>
      <c r="E96" s="131" t="s">
        <v>956</v>
      </c>
      <c r="F96" s="131">
        <v>767</v>
      </c>
      <c r="G96" s="131"/>
      <c r="H96" s="131"/>
    </row>
    <row r="97" spans="1:8" x14ac:dyDescent="0.25">
      <c r="D97" s="143" t="s">
        <v>960</v>
      </c>
      <c r="E97" s="131" t="s">
        <v>956</v>
      </c>
      <c r="F97" s="131">
        <v>1430</v>
      </c>
      <c r="G97" s="133" t="s">
        <v>961</v>
      </c>
      <c r="H97" s="132">
        <v>45776</v>
      </c>
    </row>
    <row r="98" spans="1:8" x14ac:dyDescent="0.25">
      <c r="D98" s="143" t="s">
        <v>962</v>
      </c>
      <c r="E98" s="131" t="s">
        <v>956</v>
      </c>
      <c r="F98" s="131">
        <v>820</v>
      </c>
      <c r="G98" s="131"/>
      <c r="H98" s="131"/>
    </row>
    <row r="99" spans="1:8" x14ac:dyDescent="0.25">
      <c r="D99" s="143" t="s">
        <v>963</v>
      </c>
      <c r="E99" s="131" t="s">
        <v>921</v>
      </c>
      <c r="F99" s="131">
        <v>196</v>
      </c>
      <c r="G99" s="131"/>
      <c r="H99" s="131"/>
    </row>
    <row r="100" spans="1:8" ht="13.8" thickBot="1" x14ac:dyDescent="0.3">
      <c r="A100" s="27" t="s">
        <v>964</v>
      </c>
      <c r="B100" s="27"/>
      <c r="C100" s="27"/>
      <c r="D100" s="143" t="s">
        <v>965</v>
      </c>
      <c r="E100" s="131" t="s">
        <v>921</v>
      </c>
      <c r="F100" s="131">
        <v>458</v>
      </c>
      <c r="G100" s="131"/>
      <c r="H100" s="131"/>
    </row>
    <row r="101" spans="1:8" x14ac:dyDescent="0.25">
      <c r="A101" s="30" t="s">
        <v>966</v>
      </c>
      <c r="B101" s="31" t="s">
        <v>967</v>
      </c>
      <c r="D101" s="143" t="s">
        <v>968</v>
      </c>
      <c r="E101" s="131" t="s">
        <v>921</v>
      </c>
      <c r="F101" s="131">
        <v>294</v>
      </c>
      <c r="G101" s="133" t="s">
        <v>969</v>
      </c>
      <c r="H101" s="132">
        <v>45580</v>
      </c>
    </row>
    <row r="102" spans="1:8" x14ac:dyDescent="0.25">
      <c r="A102" s="32" t="s">
        <v>970</v>
      </c>
      <c r="B102" s="49">
        <v>1</v>
      </c>
      <c r="D102" s="143" t="s">
        <v>971</v>
      </c>
      <c r="E102" s="131" t="s">
        <v>935</v>
      </c>
      <c r="F102" s="131">
        <v>3.25</v>
      </c>
      <c r="G102" s="131" t="s">
        <v>972</v>
      </c>
      <c r="H102" s="131"/>
    </row>
    <row r="103" spans="1:8" x14ac:dyDescent="0.25">
      <c r="A103" s="32" t="s">
        <v>973</v>
      </c>
      <c r="B103" s="49">
        <v>1</v>
      </c>
      <c r="D103" s="143" t="s">
        <v>974</v>
      </c>
      <c r="E103" s="131" t="s">
        <v>935</v>
      </c>
      <c r="F103" s="131">
        <v>2.72</v>
      </c>
      <c r="G103" s="133" t="s">
        <v>975</v>
      </c>
      <c r="H103" s="132">
        <v>45470</v>
      </c>
    </row>
    <row r="104" spans="1:8" x14ac:dyDescent="0.25">
      <c r="A104" s="32" t="s">
        <v>976</v>
      </c>
      <c r="B104" s="49">
        <v>0.5</v>
      </c>
      <c r="D104" s="143" t="s">
        <v>977</v>
      </c>
      <c r="E104" s="131" t="s">
        <v>4</v>
      </c>
      <c r="F104" s="131">
        <v>14.1</v>
      </c>
      <c r="G104" s="133" t="s">
        <v>978</v>
      </c>
      <c r="H104" s="131"/>
    </row>
    <row r="105" spans="1:8" x14ac:dyDescent="0.25">
      <c r="A105" s="32" t="s">
        <v>979</v>
      </c>
      <c r="B105" s="49">
        <v>0.8</v>
      </c>
      <c r="D105" s="143" t="s">
        <v>980</v>
      </c>
      <c r="E105" s="131" t="s">
        <v>460</v>
      </c>
      <c r="F105" s="131">
        <v>118.87</v>
      </c>
      <c r="G105" s="131" t="s">
        <v>981</v>
      </c>
      <c r="H105" s="131" t="s">
        <v>982</v>
      </c>
    </row>
    <row r="106" spans="1:8" ht="13.8" thickBot="1" x14ac:dyDescent="0.3">
      <c r="A106" s="50" t="s">
        <v>983</v>
      </c>
      <c r="B106" s="49">
        <v>2.8</v>
      </c>
      <c r="D106" s="143" t="s">
        <v>984</v>
      </c>
      <c r="E106" s="131" t="s">
        <v>4</v>
      </c>
      <c r="F106" s="131">
        <v>0.24</v>
      </c>
      <c r="G106" s="133" t="s">
        <v>985</v>
      </c>
      <c r="H106" s="132">
        <v>46468</v>
      </c>
    </row>
    <row r="107" spans="1:8" ht="13.8" thickBot="1" x14ac:dyDescent="0.3">
      <c r="A107" s="50" t="s">
        <v>986</v>
      </c>
      <c r="B107" s="49">
        <v>3.1</v>
      </c>
      <c r="D107" s="143" t="s">
        <v>987</v>
      </c>
      <c r="E107" s="131" t="s">
        <v>921</v>
      </c>
      <c r="F107" s="131">
        <v>-1.74</v>
      </c>
      <c r="G107" s="133" t="s">
        <v>988</v>
      </c>
      <c r="H107" s="132">
        <v>46922</v>
      </c>
    </row>
    <row r="108" spans="1:8" ht="13.8" thickBot="1" x14ac:dyDescent="0.3">
      <c r="A108" s="50" t="s">
        <v>989</v>
      </c>
      <c r="B108" s="49">
        <v>5</v>
      </c>
    </row>
    <row r="111" spans="1:8" x14ac:dyDescent="0.25">
      <c r="A111" t="s">
        <v>990</v>
      </c>
    </row>
    <row r="112" spans="1:8" x14ac:dyDescent="0.25">
      <c r="A112" t="s">
        <v>991</v>
      </c>
    </row>
    <row r="113" spans="1:2" x14ac:dyDescent="0.25">
      <c r="A113" t="s">
        <v>992</v>
      </c>
    </row>
    <row r="115" spans="1:2" x14ac:dyDescent="0.25">
      <c r="A115" s="27" t="s">
        <v>993</v>
      </c>
      <c r="B115" s="28" t="s">
        <v>994</v>
      </c>
    </row>
    <row r="116" spans="1:2" x14ac:dyDescent="0.25">
      <c r="B116">
        <v>2410</v>
      </c>
    </row>
    <row r="117" spans="1:2" x14ac:dyDescent="0.25">
      <c r="B117">
        <v>2264</v>
      </c>
    </row>
    <row r="118" spans="1:2" x14ac:dyDescent="0.25">
      <c r="B118">
        <v>2118</v>
      </c>
    </row>
    <row r="119" spans="1:2" x14ac:dyDescent="0.25">
      <c r="B119">
        <v>1972</v>
      </c>
    </row>
    <row r="120" spans="1:2" x14ac:dyDescent="0.25">
      <c r="B120">
        <v>1826</v>
      </c>
    </row>
    <row r="121" spans="1:2" x14ac:dyDescent="0.25">
      <c r="B121">
        <v>1680</v>
      </c>
    </row>
    <row r="122" spans="1:2" x14ac:dyDescent="0.25">
      <c r="B122">
        <v>1534</v>
      </c>
    </row>
    <row r="123" spans="1:2" x14ac:dyDescent="0.25">
      <c r="B123">
        <v>1387</v>
      </c>
    </row>
    <row r="124" spans="1:2" x14ac:dyDescent="0.25">
      <c r="B124">
        <v>1241</v>
      </c>
    </row>
    <row r="125" spans="1:2" x14ac:dyDescent="0.25">
      <c r="B125">
        <v>1095</v>
      </c>
    </row>
    <row r="126" spans="1:2" x14ac:dyDescent="0.25">
      <c r="B126">
        <v>949</v>
      </c>
    </row>
  </sheetData>
  <phoneticPr fontId="17" type="noConversion"/>
  <hyperlinks>
    <hyperlink ref="G103" r:id="rId1" xr:uid="{667CCCD2-9544-479C-B9FD-1DE97DBB79D9}"/>
    <hyperlink ref="G104" r:id="rId2" xr:uid="{E585532F-5425-4C1B-BECE-C7FEDF51AA0C}"/>
    <hyperlink ref="G69" r:id="rId3" xr:uid="{06AD7AD4-9B3B-4D1D-8041-51A342083B18}"/>
    <hyperlink ref="G73" r:id="rId4" xr:uid="{C09B96D8-AB53-46B4-9694-C62BA3658AC3}"/>
    <hyperlink ref="G87" r:id="rId5" xr:uid="{2518D787-F3AC-408F-A003-103D60458535}"/>
    <hyperlink ref="G88" r:id="rId6" xr:uid="{E3D68DBB-F09D-4836-9E0D-AB10B4FED3AB}"/>
    <hyperlink ref="G89" r:id="rId7" xr:uid="{8AD942D4-1EE9-421E-B15F-94AC8DF478FB}"/>
    <hyperlink ref="G101" r:id="rId8" xr:uid="{5AA080EE-EA4B-44ED-9D95-E6FFD12FD16F}"/>
    <hyperlink ref="G106" r:id="rId9" xr:uid="{151989F7-8DA1-4454-8C85-EC6833104740}"/>
    <hyperlink ref="G76" r:id="rId10" xr:uid="{4CC358B3-720B-40DF-9727-D408C1AB7CBC}"/>
    <hyperlink ref="G75" r:id="rId11" xr:uid="{2E3D9111-F5C1-4444-965F-BFE7082AFFF4}"/>
    <hyperlink ref="G86" r:id="rId12" xr:uid="{B84A2424-8A7B-4B5B-B317-90DC332044BF}"/>
    <hyperlink ref="G95" r:id="rId13" xr:uid="{852D3BC1-6CFE-4463-8249-2C0245F8B131}"/>
    <hyperlink ref="G97" r:id="rId14" xr:uid="{ADED7727-A9D6-4A88-B77A-DF1ADC28C8E1}"/>
    <hyperlink ref="G72" r:id="rId15" xr:uid="{6F4E63AC-2704-46A4-A715-886151A4B197}"/>
    <hyperlink ref="G80" r:id="rId16" xr:uid="{14189888-8E7D-43AB-95CE-232D99122A03}"/>
    <hyperlink ref="G79" r:id="rId17" xr:uid="{85B9BD3F-8F5A-4FD2-B6E8-F49A1F7CE127}"/>
    <hyperlink ref="G107" r:id="rId18" xr:uid="{1008DD8B-93BF-4B74-8725-C627450E902A}"/>
    <hyperlink ref="G84" r:id="rId19" xr:uid="{71E6CB75-AA49-4047-8C6F-D353B3359EBF}"/>
    <hyperlink ref="G93" r:id="rId20" xr:uid="{212A170A-AEB8-4273-ABEA-9CBD3BE2A3D9}"/>
  </hyperlinks>
  <pageMargins left="0.7" right="0.7" top="0.75" bottom="0.75" header="0.3" footer="0.3"/>
  <pageSetup orientation="portrait" r:id="rId21"/>
  <drawing r:id="rId22"/>
  <tableParts count="3">
    <tablePart r:id="rId23"/>
    <tablePart r:id="rId24"/>
    <tablePart r:id="rId2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8"/>
  <sheetViews>
    <sheetView showGridLines="0" zoomScaleNormal="100" zoomScalePageLayoutView="80" workbookViewId="0">
      <selection activeCell="C5" sqref="C5"/>
    </sheetView>
  </sheetViews>
  <sheetFormatPr defaultColWidth="8.6640625" defaultRowHeight="13.2" x14ac:dyDescent="0.25"/>
  <cols>
    <col min="1" max="1" width="5.33203125" customWidth="1"/>
    <col min="2" max="2" width="24.5546875" customWidth="1"/>
    <col min="3" max="3" width="23.6640625" customWidth="1"/>
    <col min="4" max="4" width="20" customWidth="1"/>
  </cols>
  <sheetData>
    <row r="1" spans="1:12" s="127" customFormat="1" ht="26.7" customHeight="1" x14ac:dyDescent="0.25">
      <c r="A1" s="126" t="s">
        <v>2</v>
      </c>
      <c r="B1" s="127" t="s">
        <v>3</v>
      </c>
    </row>
    <row r="2" spans="1:12" s="117" customFormat="1" ht="14.4" thickBot="1" x14ac:dyDescent="0.3">
      <c r="A2" s="116"/>
    </row>
    <row r="3" spans="1:12" ht="13.8" thickBot="1" x14ac:dyDescent="0.3">
      <c r="C3" s="74" t="s">
        <v>4</v>
      </c>
      <c r="D3" s="73" t="s">
        <v>5</v>
      </c>
    </row>
    <row r="4" spans="1:12" ht="13.95" customHeight="1" thickBot="1" x14ac:dyDescent="0.3">
      <c r="B4" s="2" t="s">
        <v>6</v>
      </c>
      <c r="C4" s="77">
        <v>80</v>
      </c>
      <c r="D4" s="3" t="s">
        <v>7</v>
      </c>
      <c r="F4" s="780" t="s">
        <v>8</v>
      </c>
      <c r="G4" s="780"/>
      <c r="H4" s="780"/>
      <c r="I4" s="780"/>
      <c r="J4" s="780"/>
      <c r="K4" s="780"/>
      <c r="L4" s="780"/>
    </row>
    <row r="5" spans="1:12" x14ac:dyDescent="0.25">
      <c r="C5" s="1"/>
      <c r="D5" s="1"/>
      <c r="F5" s="780"/>
      <c r="G5" s="780"/>
      <c r="H5" s="780"/>
      <c r="I5" s="780"/>
      <c r="J5" s="780"/>
      <c r="K5" s="780"/>
      <c r="L5" s="780"/>
    </row>
    <row r="6" spans="1:12" x14ac:dyDescent="0.25">
      <c r="F6" s="780"/>
      <c r="G6" s="780"/>
      <c r="H6" s="780"/>
      <c r="I6" s="780"/>
      <c r="J6" s="780"/>
      <c r="K6" s="780"/>
      <c r="L6" s="780"/>
    </row>
    <row r="7" spans="1:12" x14ac:dyDescent="0.25">
      <c r="F7" s="780"/>
      <c r="G7" s="780"/>
      <c r="H7" s="780"/>
      <c r="I7" s="780"/>
      <c r="J7" s="780"/>
      <c r="K7" s="780"/>
      <c r="L7" s="780"/>
    </row>
    <row r="8" spans="1:12" x14ac:dyDescent="0.25">
      <c r="F8" s="780"/>
      <c r="G8" s="780"/>
      <c r="H8" s="780"/>
      <c r="I8" s="780"/>
      <c r="J8" s="780"/>
      <c r="K8" s="780"/>
      <c r="L8" s="780"/>
    </row>
  </sheetData>
  <sheetProtection algorithmName="SHA-512" hashValue="xWpgY9p6uAu76t1iupAU7q9wXrR1mp46ZrZBGWsINWIvZSqIDAM0WMSJiDwi6Cth39WThBhnXF5FLbHVpKEMng==" saltValue="s3oMCg+yLZ+Hk9S0S5uOFw==" spinCount="100000" sheet="1" objects="1" scenarios="1"/>
  <mergeCells count="1">
    <mergeCell ref="F4:L8"/>
  </mergeCell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34" workbookViewId="0">
      <selection activeCell="K26" sqref="K26"/>
    </sheetView>
  </sheetViews>
  <sheetFormatPr defaultColWidth="11.44140625" defaultRowHeight="13.2" x14ac:dyDescent="0.25"/>
  <cols>
    <col min="4" max="4" width="14.44140625" customWidth="1"/>
    <col min="7" max="7" width="14" customWidth="1"/>
    <col min="11" max="11" width="13.6640625" customWidth="1"/>
  </cols>
  <sheetData>
    <row r="2" spans="1:17" x14ac:dyDescent="0.25">
      <c r="A2" s="33" t="s">
        <v>995</v>
      </c>
      <c r="B2" s="34"/>
      <c r="C2" s="34"/>
      <c r="D2" s="34"/>
      <c r="E2" s="34"/>
      <c r="F2" s="34"/>
      <c r="G2" s="34"/>
      <c r="H2" s="34"/>
      <c r="I2" s="34"/>
      <c r="J2" s="34"/>
      <c r="K2" s="34"/>
      <c r="L2" s="34"/>
      <c r="M2" s="34"/>
      <c r="N2" s="34"/>
      <c r="O2" s="34"/>
      <c r="P2" s="34"/>
      <c r="Q2" s="34"/>
    </row>
    <row r="3" spans="1:17" x14ac:dyDescent="0.25">
      <c r="B3" t="s">
        <v>995</v>
      </c>
      <c r="C3" s="35" t="s">
        <v>996</v>
      </c>
    </row>
    <row r="13" spans="1:17" x14ac:dyDescent="0.25">
      <c r="J13" s="36">
        <v>2.82</v>
      </c>
      <c r="K13" s="36" t="s">
        <v>997</v>
      </c>
      <c r="L13" t="s">
        <v>889</v>
      </c>
    </row>
    <row r="15" spans="1:17" x14ac:dyDescent="0.25">
      <c r="J15" s="37" t="s">
        <v>998</v>
      </c>
      <c r="K15" s="38" t="s">
        <v>999</v>
      </c>
    </row>
    <row r="16" spans="1:17" x14ac:dyDescent="0.25">
      <c r="J16" s="37" t="s">
        <v>1000</v>
      </c>
      <c r="K16" s="38" t="s">
        <v>1001</v>
      </c>
      <c r="L16" t="s">
        <v>1002</v>
      </c>
    </row>
    <row r="31" spans="10:10" x14ac:dyDescent="0.25">
      <c r="J31" t="s">
        <v>1003</v>
      </c>
    </row>
    <row r="35" spans="1:17" ht="24" customHeight="1" x14ac:dyDescent="0.25"/>
    <row r="36" spans="1:17" x14ac:dyDescent="0.25">
      <c r="A36" s="33" t="s">
        <v>1004</v>
      </c>
      <c r="B36" s="34"/>
      <c r="C36" s="34"/>
      <c r="D36" s="34"/>
      <c r="E36" s="34"/>
      <c r="F36" s="34"/>
      <c r="G36" s="34"/>
      <c r="H36" s="34"/>
      <c r="I36" s="34"/>
      <c r="J36" s="34"/>
      <c r="K36" s="34"/>
      <c r="L36" s="34"/>
      <c r="M36" s="34"/>
      <c r="N36" s="34"/>
      <c r="O36" s="34"/>
      <c r="P36" s="34"/>
      <c r="Q36" s="34"/>
    </row>
    <row r="37" spans="1:17" x14ac:dyDescent="0.25">
      <c r="A37" s="39"/>
      <c r="B37" s="40" t="s">
        <v>1005</v>
      </c>
      <c r="C37" s="41"/>
      <c r="D37" s="41"/>
      <c r="E37" s="41"/>
      <c r="F37" s="41"/>
      <c r="G37" s="41"/>
      <c r="H37" s="41"/>
      <c r="I37" s="41"/>
      <c r="J37" s="41"/>
      <c r="K37" s="41"/>
      <c r="L37" s="41"/>
      <c r="M37" s="41"/>
      <c r="N37" s="41"/>
      <c r="O37" s="41"/>
      <c r="P37" s="41"/>
      <c r="Q37" s="41"/>
    </row>
    <row r="38" spans="1:17" x14ac:dyDescent="0.25">
      <c r="B38" s="42" t="s">
        <v>1006</v>
      </c>
      <c r="C38" s="42"/>
      <c r="D38" s="42"/>
    </row>
    <row r="39" spans="1:17" ht="26.4" x14ac:dyDescent="0.25">
      <c r="B39" s="42"/>
      <c r="C39" s="42">
        <v>0.33679999999999999</v>
      </c>
      <c r="D39" s="43" t="s">
        <v>1007</v>
      </c>
      <c r="F39">
        <f>C39*1000</f>
        <v>336.8</v>
      </c>
      <c r="G39" s="44" t="s">
        <v>1008</v>
      </c>
      <c r="H39">
        <v>1000</v>
      </c>
      <c r="I39" t="s">
        <v>1009</v>
      </c>
    </row>
    <row r="40" spans="1:17" x14ac:dyDescent="0.25">
      <c r="E40" t="s">
        <v>889</v>
      </c>
      <c r="F40" s="36">
        <f>F39/1000</f>
        <v>0.33679999999999999</v>
      </c>
      <c r="G40" s="36" t="s">
        <v>1010</v>
      </c>
    </row>
    <row r="41" spans="1:17" x14ac:dyDescent="0.25">
      <c r="J41" t="s">
        <v>1009</v>
      </c>
      <c r="K41" t="s">
        <v>1011</v>
      </c>
    </row>
    <row r="42" spans="1:17" x14ac:dyDescent="0.25">
      <c r="E42" t="s">
        <v>1002</v>
      </c>
      <c r="F42" s="37" t="s">
        <v>1012</v>
      </c>
      <c r="G42" s="38" t="s">
        <v>999</v>
      </c>
      <c r="J42">
        <v>14.1</v>
      </c>
      <c r="K42">
        <v>1</v>
      </c>
    </row>
    <row r="43" spans="1:17" x14ac:dyDescent="0.25">
      <c r="J43">
        <v>3229</v>
      </c>
      <c r="K43">
        <f>J43/J42</f>
        <v>229.00709219858157</v>
      </c>
    </row>
    <row r="45" spans="1:17" x14ac:dyDescent="0.25">
      <c r="A45" s="33" t="s">
        <v>1013</v>
      </c>
      <c r="B45" s="34"/>
      <c r="C45" s="34"/>
      <c r="D45" s="34"/>
      <c r="E45" s="34"/>
      <c r="F45" s="34"/>
      <c r="G45" s="34"/>
      <c r="H45" s="34"/>
      <c r="I45" s="34"/>
      <c r="J45" s="34"/>
      <c r="K45" s="34"/>
      <c r="L45" s="34"/>
      <c r="M45" s="34"/>
      <c r="N45" s="34"/>
      <c r="O45" s="34"/>
      <c r="P45" s="34"/>
      <c r="Q45" s="34"/>
    </row>
    <row r="48" spans="1:17" x14ac:dyDescent="0.25">
      <c r="C48" s="45" t="s">
        <v>1014</v>
      </c>
      <c r="F48" s="37">
        <v>3.7699999999999997E-2</v>
      </c>
      <c r="G48" s="38" t="s">
        <v>999</v>
      </c>
    </row>
    <row r="49" spans="3:7" x14ac:dyDescent="0.25">
      <c r="D49" s="1183" t="s">
        <v>1015</v>
      </c>
      <c r="E49" s="1183"/>
      <c r="F49" s="46">
        <v>0.36</v>
      </c>
      <c r="G49" s="47" t="s">
        <v>999</v>
      </c>
    </row>
    <row r="51" spans="3:7" x14ac:dyDescent="0.25">
      <c r="C51" s="45" t="s">
        <v>1016</v>
      </c>
      <c r="F51" s="48">
        <v>2.7E-2</v>
      </c>
      <c r="G51" s="38" t="s">
        <v>999</v>
      </c>
    </row>
    <row r="52" spans="3:7" x14ac:dyDescent="0.25">
      <c r="D52" s="1183" t="s">
        <v>1015</v>
      </c>
      <c r="E52" s="1183"/>
      <c r="F52" s="46">
        <v>0.36</v>
      </c>
      <c r="G52" s="47" t="s">
        <v>999</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6F2-0777-4775-9BF7-9210E5038895}">
  <dimension ref="B1:M126"/>
  <sheetViews>
    <sheetView zoomScale="90" zoomScaleNormal="90" workbookViewId="0">
      <selection activeCell="B53" sqref="B53"/>
    </sheetView>
  </sheetViews>
  <sheetFormatPr defaultColWidth="11.5546875" defaultRowHeight="13.2" x14ac:dyDescent="0.25"/>
  <cols>
    <col min="2" max="2" width="63" style="1" customWidth="1"/>
    <col min="3" max="3" width="18.109375" customWidth="1"/>
    <col min="5" max="5" width="28.88671875" style="1" customWidth="1"/>
    <col min="6" max="6" width="28.88671875" customWidth="1"/>
    <col min="7" max="7" width="17.5546875" customWidth="1"/>
    <col min="8" max="8" width="59.6640625" bestFit="1" customWidth="1"/>
    <col min="9" max="9" width="44.5546875" customWidth="1"/>
  </cols>
  <sheetData>
    <row r="1" spans="2:8" x14ac:dyDescent="0.25">
      <c r="B1" s="326" t="s">
        <v>1017</v>
      </c>
      <c r="C1" s="149" t="s">
        <v>415</v>
      </c>
      <c r="D1" s="149" t="s">
        <v>433</v>
      </c>
      <c r="E1" s="149" t="s">
        <v>414</v>
      </c>
      <c r="F1" s="149" t="s">
        <v>434</v>
      </c>
      <c r="G1" s="326" t="s">
        <v>887</v>
      </c>
      <c r="H1" s="326" t="s">
        <v>1018</v>
      </c>
    </row>
    <row r="2" spans="2:8" x14ac:dyDescent="0.25">
      <c r="B2" s="327" t="s">
        <v>1019</v>
      </c>
      <c r="C2" s="327" t="s">
        <v>956</v>
      </c>
      <c r="D2" s="327">
        <v>1430</v>
      </c>
      <c r="E2" s="328" t="s">
        <v>961</v>
      </c>
      <c r="F2" s="329">
        <v>45776</v>
      </c>
      <c r="G2" s="329" t="s">
        <v>889</v>
      </c>
      <c r="H2" s="512"/>
    </row>
    <row r="3" spans="2:8" x14ac:dyDescent="0.25">
      <c r="B3" s="327" t="s">
        <v>1020</v>
      </c>
      <c r="C3" s="340" t="s">
        <v>956</v>
      </c>
      <c r="D3" s="340">
        <v>3.3450000000000002</v>
      </c>
      <c r="E3" s="336" t="s">
        <v>1021</v>
      </c>
      <c r="F3" s="329">
        <v>46651</v>
      </c>
      <c r="G3" s="327" t="s">
        <v>1022</v>
      </c>
      <c r="H3" s="131"/>
    </row>
    <row r="4" spans="2:8" x14ac:dyDescent="0.25">
      <c r="B4" s="340" t="s">
        <v>1023</v>
      </c>
      <c r="C4" s="340" t="s">
        <v>956</v>
      </c>
      <c r="D4" s="340">
        <v>2.6989999999999998</v>
      </c>
      <c r="E4" s="336" t="s">
        <v>1021</v>
      </c>
      <c r="F4" s="329">
        <v>46651</v>
      </c>
      <c r="G4" s="327" t="s">
        <v>1022</v>
      </c>
      <c r="H4" s="131"/>
    </row>
    <row r="5" spans="2:8" x14ac:dyDescent="0.25">
      <c r="B5" s="340" t="s">
        <v>1024</v>
      </c>
      <c r="C5" s="340" t="s">
        <v>956</v>
      </c>
      <c r="D5" s="340">
        <v>2.6989999999999998</v>
      </c>
      <c r="E5" s="336" t="s">
        <v>1021</v>
      </c>
      <c r="F5" s="329">
        <v>46651</v>
      </c>
      <c r="G5" s="327" t="s">
        <v>1022</v>
      </c>
      <c r="H5" s="131"/>
    </row>
    <row r="6" spans="2:8" x14ac:dyDescent="0.25">
      <c r="B6" s="330" t="s">
        <v>1025</v>
      </c>
      <c r="C6" s="131" t="s">
        <v>956</v>
      </c>
      <c r="D6" s="327">
        <v>2.94</v>
      </c>
      <c r="E6" s="331" t="s">
        <v>1026</v>
      </c>
      <c r="F6" s="332">
        <v>46588</v>
      </c>
      <c r="G6" s="333" t="s">
        <v>1027</v>
      </c>
      <c r="H6" s="131"/>
    </row>
    <row r="7" spans="2:8" x14ac:dyDescent="0.25">
      <c r="B7" s="334" t="s">
        <v>1028</v>
      </c>
      <c r="C7" s="334" t="s">
        <v>921</v>
      </c>
      <c r="D7" s="334">
        <v>294</v>
      </c>
      <c r="E7" s="341" t="s">
        <v>969</v>
      </c>
      <c r="F7" s="332">
        <v>45580</v>
      </c>
      <c r="G7" s="334" t="s">
        <v>889</v>
      </c>
      <c r="H7" s="131"/>
    </row>
    <row r="8" spans="2:8" x14ac:dyDescent="0.25">
      <c r="B8" s="327" t="s">
        <v>1029</v>
      </c>
      <c r="C8" s="327" t="s">
        <v>4</v>
      </c>
      <c r="D8" s="327">
        <v>4.28</v>
      </c>
      <c r="E8" s="336" t="s">
        <v>923</v>
      </c>
      <c r="F8" s="329">
        <v>46324</v>
      </c>
      <c r="G8" s="329" t="s">
        <v>1030</v>
      </c>
      <c r="H8" s="131"/>
    </row>
    <row r="9" spans="2:8" x14ac:dyDescent="0.25">
      <c r="B9" s="327" t="s">
        <v>938</v>
      </c>
      <c r="C9" s="327" t="s">
        <v>4</v>
      </c>
      <c r="D9" s="327">
        <v>4.3899999999999997</v>
      </c>
      <c r="E9" s="517" t="s">
        <v>1031</v>
      </c>
      <c r="F9" s="329">
        <v>46593</v>
      </c>
      <c r="G9" s="327" t="s">
        <v>889</v>
      </c>
      <c r="H9" s="131"/>
    </row>
    <row r="10" spans="2:8" x14ac:dyDescent="0.25">
      <c r="B10" s="327" t="s">
        <v>1032</v>
      </c>
      <c r="C10" s="327" t="s">
        <v>4</v>
      </c>
      <c r="D10" s="327">
        <v>6.42</v>
      </c>
      <c r="E10" s="336" t="s">
        <v>906</v>
      </c>
      <c r="F10" s="329">
        <v>45384</v>
      </c>
      <c r="G10" s="329" t="s">
        <v>1033</v>
      </c>
      <c r="H10" s="131"/>
    </row>
    <row r="11" spans="2:8" x14ac:dyDescent="0.25">
      <c r="B11" s="327" t="s">
        <v>1034</v>
      </c>
      <c r="C11" s="327" t="s">
        <v>4</v>
      </c>
      <c r="D11" s="327">
        <v>1.0900000000000001</v>
      </c>
      <c r="E11" s="336" t="s">
        <v>915</v>
      </c>
      <c r="F11" s="329">
        <v>46504</v>
      </c>
      <c r="G11" s="329" t="s">
        <v>889</v>
      </c>
      <c r="H11" s="131"/>
    </row>
    <row r="12" spans="2:8" x14ac:dyDescent="0.25">
      <c r="B12" s="327" t="s">
        <v>917</v>
      </c>
      <c r="C12" s="327" t="s">
        <v>4</v>
      </c>
      <c r="D12" s="327">
        <v>4.8099999999999996</v>
      </c>
      <c r="E12" s="341" t="s">
        <v>918</v>
      </c>
      <c r="F12" s="329">
        <v>46496</v>
      </c>
      <c r="G12" s="329" t="s">
        <v>889</v>
      </c>
      <c r="H12" s="131"/>
    </row>
    <row r="13" spans="2:8" x14ac:dyDescent="0.25">
      <c r="B13" s="327" t="s">
        <v>925</v>
      </c>
      <c r="C13" s="327" t="s">
        <v>4</v>
      </c>
      <c r="D13" s="327">
        <v>3.8</v>
      </c>
      <c r="E13" s="336" t="s">
        <v>926</v>
      </c>
      <c r="F13" s="329">
        <v>46476</v>
      </c>
      <c r="G13" s="329" t="s">
        <v>889</v>
      </c>
      <c r="H13" s="131"/>
    </row>
    <row r="14" spans="2:8" x14ac:dyDescent="0.25">
      <c r="B14" s="327" t="s">
        <v>1035</v>
      </c>
      <c r="C14" s="327" t="s">
        <v>4</v>
      </c>
      <c r="D14" s="327">
        <v>4.0599999999999996</v>
      </c>
      <c r="E14" s="336" t="s">
        <v>946</v>
      </c>
      <c r="F14" s="329">
        <v>46476</v>
      </c>
      <c r="G14" s="329" t="s">
        <v>889</v>
      </c>
      <c r="H14" s="131"/>
    </row>
    <row r="15" spans="2:8" x14ac:dyDescent="0.25">
      <c r="B15" s="327" t="s">
        <v>1036</v>
      </c>
      <c r="C15" s="327" t="s">
        <v>4</v>
      </c>
      <c r="D15" s="327">
        <v>4.13</v>
      </c>
      <c r="E15" s="336" t="s">
        <v>946</v>
      </c>
      <c r="F15" s="329">
        <v>46476</v>
      </c>
      <c r="G15" s="329" t="s">
        <v>889</v>
      </c>
      <c r="H15" s="131"/>
    </row>
    <row r="16" spans="2:8" x14ac:dyDescent="0.25">
      <c r="B16" s="327" t="s">
        <v>1037</v>
      </c>
      <c r="C16" s="327" t="s">
        <v>921</v>
      </c>
      <c r="D16" s="327">
        <v>320</v>
      </c>
      <c r="E16" s="336" t="s">
        <v>944</v>
      </c>
      <c r="F16" s="329">
        <v>46740</v>
      </c>
      <c r="G16" s="329" t="s">
        <v>889</v>
      </c>
      <c r="H16" s="131"/>
    </row>
    <row r="17" spans="2:8" x14ac:dyDescent="0.25">
      <c r="B17" s="327" t="s">
        <v>1038</v>
      </c>
      <c r="C17" s="327" t="s">
        <v>921</v>
      </c>
      <c r="D17" s="327">
        <v>242.58</v>
      </c>
      <c r="E17" s="336" t="s">
        <v>1039</v>
      </c>
      <c r="F17" s="329" t="s">
        <v>1040</v>
      </c>
      <c r="G17" s="327" t="s">
        <v>1041</v>
      </c>
      <c r="H17" s="131"/>
    </row>
    <row r="18" spans="2:8" x14ac:dyDescent="0.25">
      <c r="B18" s="334" t="s">
        <v>1042</v>
      </c>
      <c r="C18" s="334" t="s">
        <v>921</v>
      </c>
      <c r="D18" s="334">
        <v>548</v>
      </c>
      <c r="E18" s="517" t="s">
        <v>1043</v>
      </c>
      <c r="F18" s="329">
        <v>46732</v>
      </c>
      <c r="G18" s="327" t="s">
        <v>1033</v>
      </c>
      <c r="H18" s="131"/>
    </row>
    <row r="19" spans="2:8" x14ac:dyDescent="0.25">
      <c r="B19" s="330" t="s">
        <v>1044</v>
      </c>
      <c r="C19" s="330" t="s">
        <v>921</v>
      </c>
      <c r="D19" s="330">
        <v>137.19</v>
      </c>
      <c r="E19" s="336" t="s">
        <v>1045</v>
      </c>
      <c r="F19" s="332">
        <v>45839</v>
      </c>
      <c r="G19" s="333" t="s">
        <v>1041</v>
      </c>
      <c r="H19" s="131"/>
    </row>
    <row r="20" spans="2:8" x14ac:dyDescent="0.25">
      <c r="B20" s="330" t="s">
        <v>1046</v>
      </c>
      <c r="C20" s="330" t="s">
        <v>921</v>
      </c>
      <c r="D20" s="330">
        <v>29.87</v>
      </c>
      <c r="E20" s="336" t="s">
        <v>1047</v>
      </c>
      <c r="F20" s="332">
        <v>46187</v>
      </c>
      <c r="G20" s="333" t="s">
        <v>1048</v>
      </c>
      <c r="H20" s="131"/>
    </row>
    <row r="21" spans="2:8" x14ac:dyDescent="0.25">
      <c r="B21" s="327" t="s">
        <v>940</v>
      </c>
      <c r="C21" s="327" t="s">
        <v>921</v>
      </c>
      <c r="D21" s="327">
        <v>262</v>
      </c>
      <c r="E21" s="336" t="s">
        <v>941</v>
      </c>
      <c r="F21" s="329">
        <v>46909</v>
      </c>
      <c r="G21" s="329" t="s">
        <v>1049</v>
      </c>
      <c r="H21" s="131"/>
    </row>
    <row r="22" spans="2:8" x14ac:dyDescent="0.25">
      <c r="B22" s="327" t="s">
        <v>1050</v>
      </c>
      <c r="C22" s="327" t="s">
        <v>4</v>
      </c>
      <c r="D22" s="327">
        <v>36.43</v>
      </c>
      <c r="E22" s="336" t="s">
        <v>1051</v>
      </c>
      <c r="F22" s="329">
        <v>46077</v>
      </c>
      <c r="G22" s="329" t="s">
        <v>1052</v>
      </c>
      <c r="H22" s="131"/>
    </row>
    <row r="23" spans="2:8" x14ac:dyDescent="0.25">
      <c r="B23" s="159" t="s">
        <v>1053</v>
      </c>
      <c r="C23" s="327" t="s">
        <v>4</v>
      </c>
      <c r="D23" s="327">
        <v>41.56</v>
      </c>
      <c r="E23" s="336" t="s">
        <v>1051</v>
      </c>
      <c r="F23" s="329">
        <v>46077</v>
      </c>
      <c r="G23" s="329" t="s">
        <v>1052</v>
      </c>
      <c r="H23" s="131"/>
    </row>
    <row r="24" spans="2:8" x14ac:dyDescent="0.25">
      <c r="B24" s="159" t="s">
        <v>1054</v>
      </c>
      <c r="C24" s="327" t="s">
        <v>4</v>
      </c>
      <c r="D24" s="327">
        <v>47.39</v>
      </c>
      <c r="E24" s="336" t="s">
        <v>1051</v>
      </c>
      <c r="F24" s="329">
        <v>46077</v>
      </c>
      <c r="G24" s="329" t="s">
        <v>1052</v>
      </c>
      <c r="H24" s="131"/>
    </row>
    <row r="25" spans="2:8" x14ac:dyDescent="0.25">
      <c r="B25" s="327" t="s">
        <v>1055</v>
      </c>
      <c r="C25" s="327" t="s">
        <v>935</v>
      </c>
      <c r="D25" s="327">
        <v>0.12</v>
      </c>
      <c r="E25" s="336" t="s">
        <v>958</v>
      </c>
      <c r="F25" s="329">
        <v>46334</v>
      </c>
      <c r="G25" s="329" t="s">
        <v>1056</v>
      </c>
      <c r="H25" s="131"/>
    </row>
    <row r="26" spans="2:8" x14ac:dyDescent="0.25">
      <c r="B26" s="327" t="s">
        <v>974</v>
      </c>
      <c r="C26" s="327" t="s">
        <v>956</v>
      </c>
      <c r="D26" s="327">
        <v>2720</v>
      </c>
      <c r="E26" s="336" t="s">
        <v>975</v>
      </c>
      <c r="F26" s="329">
        <v>45470</v>
      </c>
      <c r="G26" s="329" t="s">
        <v>1033</v>
      </c>
      <c r="H26" s="131"/>
    </row>
    <row r="27" spans="2:8" x14ac:dyDescent="0.25">
      <c r="B27" s="159" t="s">
        <v>1057</v>
      </c>
      <c r="C27" s="338" t="s">
        <v>4</v>
      </c>
      <c r="D27" s="338">
        <v>8.5500000000000007</v>
      </c>
      <c r="E27" s="336" t="s">
        <v>1058</v>
      </c>
      <c r="F27" s="329">
        <v>46903</v>
      </c>
      <c r="G27" s="339" t="s">
        <v>1049</v>
      </c>
      <c r="H27" s="131"/>
    </row>
    <row r="28" spans="2:8" x14ac:dyDescent="0.25">
      <c r="B28" s="159" t="s">
        <v>1059</v>
      </c>
      <c r="C28" s="327" t="s">
        <v>470</v>
      </c>
      <c r="D28" s="327">
        <v>371</v>
      </c>
      <c r="E28" s="336" t="s">
        <v>1060</v>
      </c>
      <c r="F28" s="329">
        <v>46863</v>
      </c>
      <c r="G28" s="329" t="s">
        <v>1061</v>
      </c>
      <c r="H28" s="131"/>
    </row>
    <row r="29" spans="2:8" x14ac:dyDescent="0.25">
      <c r="B29" s="327" t="s">
        <v>937</v>
      </c>
      <c r="C29" s="327" t="s">
        <v>470</v>
      </c>
      <c r="D29" s="327">
        <v>57.9</v>
      </c>
      <c r="E29" s="330" t="s">
        <v>1062</v>
      </c>
      <c r="F29" s="329"/>
      <c r="G29" s="327"/>
      <c r="H29" s="131"/>
    </row>
    <row r="30" spans="2:8" x14ac:dyDescent="0.25">
      <c r="B30" s="337" t="s">
        <v>1063</v>
      </c>
      <c r="C30" s="337" t="s">
        <v>4</v>
      </c>
      <c r="D30" s="337">
        <v>10.4</v>
      </c>
      <c r="E30" s="335" t="s">
        <v>933</v>
      </c>
      <c r="F30" s="329">
        <v>46650</v>
      </c>
      <c r="G30" s="337"/>
      <c r="H30" s="131"/>
    </row>
    <row r="31" spans="2:8" x14ac:dyDescent="0.25">
      <c r="B31" s="327" t="s">
        <v>1064</v>
      </c>
      <c r="C31" s="327" t="s">
        <v>935</v>
      </c>
      <c r="D31" s="327">
        <v>3572</v>
      </c>
      <c r="E31" s="328" t="s">
        <v>936</v>
      </c>
      <c r="F31" s="329">
        <v>46021</v>
      </c>
      <c r="G31" s="329"/>
      <c r="H31" s="131"/>
    </row>
    <row r="32" spans="2:8" x14ac:dyDescent="0.25">
      <c r="B32" s="131" t="s">
        <v>1065</v>
      </c>
      <c r="C32" s="131" t="s">
        <v>4</v>
      </c>
      <c r="D32" s="131">
        <v>76.400000000000006</v>
      </c>
      <c r="E32" s="514" t="s">
        <v>1066</v>
      </c>
      <c r="F32" s="329">
        <v>46559</v>
      </c>
      <c r="G32" s="329" t="s">
        <v>1048</v>
      </c>
      <c r="H32" s="131"/>
    </row>
    <row r="33" spans="2:8" x14ac:dyDescent="0.25">
      <c r="B33" s="327" t="s">
        <v>971</v>
      </c>
      <c r="C33" s="327" t="s">
        <v>935</v>
      </c>
      <c r="D33" s="327">
        <v>3.25</v>
      </c>
      <c r="E33" s="336" t="s">
        <v>972</v>
      </c>
      <c r="F33" s="329">
        <v>46503</v>
      </c>
      <c r="G33" s="329" t="s">
        <v>1027</v>
      </c>
      <c r="H33" s="131"/>
    </row>
    <row r="34" spans="2:8" x14ac:dyDescent="0.25">
      <c r="B34" s="327" t="s">
        <v>977</v>
      </c>
      <c r="C34" s="327" t="s">
        <v>4</v>
      </c>
      <c r="D34" s="327">
        <v>14.1</v>
      </c>
      <c r="E34" s="336" t="s">
        <v>978</v>
      </c>
      <c r="F34" s="329">
        <v>45429</v>
      </c>
      <c r="G34" s="329" t="s">
        <v>892</v>
      </c>
      <c r="H34" s="131"/>
    </row>
    <row r="35" spans="2:8" x14ac:dyDescent="0.25">
      <c r="B35" s="327" t="s">
        <v>1067</v>
      </c>
      <c r="C35" s="327" t="s">
        <v>1068</v>
      </c>
      <c r="D35" s="327">
        <v>80</v>
      </c>
      <c r="E35" s="336" t="s">
        <v>1069</v>
      </c>
      <c r="F35" s="329">
        <v>45954</v>
      </c>
      <c r="G35" s="329" t="s">
        <v>1016</v>
      </c>
      <c r="H35" s="131"/>
    </row>
    <row r="36" spans="2:8" x14ac:dyDescent="0.25">
      <c r="B36" s="131" t="s">
        <v>1070</v>
      </c>
      <c r="C36" s="131" t="s">
        <v>470</v>
      </c>
      <c r="D36" s="131">
        <v>67.55</v>
      </c>
      <c r="E36" s="336" t="s">
        <v>1069</v>
      </c>
      <c r="F36" s="329">
        <v>45954</v>
      </c>
      <c r="G36" s="329" t="s">
        <v>1016</v>
      </c>
      <c r="H36" s="131"/>
    </row>
    <row r="37" spans="2:8" x14ac:dyDescent="0.25">
      <c r="B37" s="131" t="s">
        <v>1071</v>
      </c>
      <c r="C37" s="131" t="s">
        <v>1068</v>
      </c>
      <c r="D37" s="131">
        <v>67.8</v>
      </c>
      <c r="E37" s="514" t="s">
        <v>1072</v>
      </c>
      <c r="F37" s="329">
        <v>45551</v>
      </c>
      <c r="G37" s="329" t="s">
        <v>1016</v>
      </c>
      <c r="H37" s="131"/>
    </row>
    <row r="38" spans="2:8" x14ac:dyDescent="0.25">
      <c r="B38" s="131" t="s">
        <v>1073</v>
      </c>
      <c r="C38" s="131" t="s">
        <v>470</v>
      </c>
      <c r="D38" s="131">
        <v>69.099999999999994</v>
      </c>
      <c r="E38" s="514" t="s">
        <v>1072</v>
      </c>
      <c r="F38" s="329">
        <v>45551</v>
      </c>
      <c r="G38" s="329" t="s">
        <v>1016</v>
      </c>
      <c r="H38" s="131"/>
    </row>
    <row r="39" spans="2:8" x14ac:dyDescent="0.25">
      <c r="B39" s="131" t="s">
        <v>1074</v>
      </c>
      <c r="C39" s="131" t="s">
        <v>470</v>
      </c>
      <c r="D39" s="131">
        <v>499</v>
      </c>
      <c r="E39" s="514" t="s">
        <v>1075</v>
      </c>
      <c r="F39" s="329">
        <v>46235</v>
      </c>
      <c r="G39" s="329" t="s">
        <v>1016</v>
      </c>
      <c r="H39" s="131"/>
    </row>
    <row r="40" spans="2:8" x14ac:dyDescent="0.25">
      <c r="B40" s="131" t="s">
        <v>1076</v>
      </c>
      <c r="C40" s="131" t="s">
        <v>1068</v>
      </c>
      <c r="D40" s="131">
        <v>14.6</v>
      </c>
      <c r="E40" s="514" t="s">
        <v>1077</v>
      </c>
      <c r="F40" s="329">
        <v>46174</v>
      </c>
      <c r="G40" s="329" t="s">
        <v>1016</v>
      </c>
      <c r="H40" s="131"/>
    </row>
    <row r="41" spans="2:8" x14ac:dyDescent="0.25">
      <c r="B41" s="131" t="s">
        <v>1078</v>
      </c>
      <c r="C41" s="131" t="s">
        <v>470</v>
      </c>
      <c r="D41" s="131">
        <v>233</v>
      </c>
      <c r="E41" s="514" t="s">
        <v>1077</v>
      </c>
      <c r="F41" s="329">
        <v>46174</v>
      </c>
      <c r="G41" s="329" t="s">
        <v>1016</v>
      </c>
      <c r="H41" s="131"/>
    </row>
    <row r="42" spans="2:8" x14ac:dyDescent="0.25">
      <c r="B42" s="327" t="s">
        <v>1079</v>
      </c>
      <c r="C42" s="327" t="s">
        <v>4</v>
      </c>
      <c r="D42" s="327">
        <v>0.24</v>
      </c>
      <c r="E42" s="336" t="s">
        <v>985</v>
      </c>
      <c r="F42" s="329">
        <v>46468</v>
      </c>
      <c r="G42" s="329"/>
      <c r="H42" s="131"/>
    </row>
    <row r="43" spans="2:8" x14ac:dyDescent="0.25">
      <c r="B43" s="327" t="s">
        <v>1080</v>
      </c>
      <c r="C43" s="327" t="s">
        <v>921</v>
      </c>
      <c r="D43" s="327">
        <v>822</v>
      </c>
      <c r="E43" s="517" t="s">
        <v>988</v>
      </c>
      <c r="F43" s="329">
        <v>46922</v>
      </c>
      <c r="G43" s="327" t="s">
        <v>1081</v>
      </c>
      <c r="H43" s="131"/>
    </row>
    <row r="44" spans="2:8" x14ac:dyDescent="0.25">
      <c r="B44" s="327" t="s">
        <v>1082</v>
      </c>
      <c r="C44" s="327" t="s">
        <v>4</v>
      </c>
      <c r="D44" s="518">
        <f>1.6+0.128+1.76</f>
        <v>3.4880000000000004</v>
      </c>
      <c r="E44" s="517" t="s">
        <v>1083</v>
      </c>
      <c r="F44" s="329">
        <v>45789</v>
      </c>
      <c r="G44" s="327" t="s">
        <v>1033</v>
      </c>
      <c r="H44" s="131"/>
    </row>
    <row r="45" spans="2:8" x14ac:dyDescent="0.25">
      <c r="B45" s="131" t="s">
        <v>1084</v>
      </c>
      <c r="C45" s="131" t="s">
        <v>1068</v>
      </c>
      <c r="D45" s="131">
        <v>267</v>
      </c>
      <c r="E45" s="133" t="s">
        <v>1085</v>
      </c>
      <c r="F45" s="329">
        <v>46419</v>
      </c>
      <c r="G45" s="329" t="s">
        <v>1016</v>
      </c>
      <c r="H45" s="131"/>
    </row>
    <row r="46" spans="2:8" x14ac:dyDescent="0.25">
      <c r="B46" s="131" t="s">
        <v>1086</v>
      </c>
      <c r="C46" s="131" t="s">
        <v>470</v>
      </c>
      <c r="D46" s="131">
        <v>1310</v>
      </c>
      <c r="E46" s="133" t="s">
        <v>1085</v>
      </c>
      <c r="F46" s="329">
        <v>46419</v>
      </c>
      <c r="G46" s="329" t="s">
        <v>1016</v>
      </c>
      <c r="H46" s="131"/>
    </row>
    <row r="47" spans="2:8" x14ac:dyDescent="0.25">
      <c r="B47" s="327" t="s">
        <v>1087</v>
      </c>
      <c r="C47" s="327" t="s">
        <v>470</v>
      </c>
      <c r="D47" s="327">
        <v>1610</v>
      </c>
      <c r="E47" s="517" t="s">
        <v>1088</v>
      </c>
      <c r="F47" s="329">
        <v>46101</v>
      </c>
      <c r="G47" s="327" t="s">
        <v>1016</v>
      </c>
      <c r="H47" s="131" t="s">
        <v>1089</v>
      </c>
    </row>
    <row r="48" spans="2:8" x14ac:dyDescent="0.25">
      <c r="B48" s="327" t="s">
        <v>1090</v>
      </c>
      <c r="C48" s="327" t="s">
        <v>4</v>
      </c>
      <c r="D48" s="327">
        <v>135</v>
      </c>
      <c r="E48" s="517" t="s">
        <v>1091</v>
      </c>
      <c r="F48" s="329">
        <v>46379</v>
      </c>
      <c r="G48" s="327" t="s">
        <v>1016</v>
      </c>
      <c r="H48" s="131"/>
    </row>
    <row r="49" spans="2:8" x14ac:dyDescent="0.25">
      <c r="B49" s="327" t="s">
        <v>1092</v>
      </c>
      <c r="C49" s="327" t="s">
        <v>1068</v>
      </c>
      <c r="D49" s="327">
        <v>152</v>
      </c>
      <c r="E49" s="517" t="s">
        <v>1093</v>
      </c>
      <c r="F49" s="329">
        <v>46692</v>
      </c>
      <c r="G49" s="327" t="s">
        <v>1016</v>
      </c>
      <c r="H49" s="131" t="s">
        <v>1094</v>
      </c>
    </row>
    <row r="50" spans="2:8" x14ac:dyDescent="0.25">
      <c r="B50" s="327" t="s">
        <v>1095</v>
      </c>
      <c r="C50" s="327" t="s">
        <v>470</v>
      </c>
      <c r="D50" s="518">
        <f>5.32+0.0752+2.36</f>
        <v>7.7552000000000003</v>
      </c>
      <c r="E50" s="516" t="s">
        <v>1096</v>
      </c>
      <c r="F50" s="329">
        <v>46569</v>
      </c>
      <c r="G50" s="327" t="s">
        <v>1097</v>
      </c>
      <c r="H50" s="131" t="s">
        <v>1098</v>
      </c>
    </row>
    <row r="51" spans="2:8" x14ac:dyDescent="0.25">
      <c r="B51" s="327" t="s">
        <v>1099</v>
      </c>
      <c r="C51" s="327" t="s">
        <v>470</v>
      </c>
      <c r="D51" s="327">
        <f>7960+218+339</f>
        <v>8517</v>
      </c>
      <c r="E51" s="517" t="s">
        <v>1100</v>
      </c>
      <c r="F51" s="329">
        <v>45830</v>
      </c>
      <c r="G51" s="327" t="s">
        <v>1101</v>
      </c>
      <c r="H51" s="131"/>
    </row>
    <row r="52" spans="2:8" x14ac:dyDescent="0.25">
      <c r="B52" s="327" t="s">
        <v>1102</v>
      </c>
      <c r="C52" s="327" t="s">
        <v>1068</v>
      </c>
      <c r="D52" s="327">
        <v>147</v>
      </c>
      <c r="E52" s="517" t="s">
        <v>1103</v>
      </c>
      <c r="F52" s="329">
        <v>45156</v>
      </c>
      <c r="G52" s="327" t="s">
        <v>1016</v>
      </c>
      <c r="H52" s="513"/>
    </row>
    <row r="53" spans="2:8" x14ac:dyDescent="0.25">
      <c r="B53" s="327" t="s">
        <v>1104</v>
      </c>
      <c r="C53" s="513" t="s">
        <v>470</v>
      </c>
      <c r="D53" s="327">
        <v>1180</v>
      </c>
      <c r="E53" s="517" t="s">
        <v>1103</v>
      </c>
      <c r="F53" s="329">
        <v>45156</v>
      </c>
      <c r="G53" s="327" t="s">
        <v>1016</v>
      </c>
      <c r="H53" s="513"/>
    </row>
    <row r="54" spans="2:8" x14ac:dyDescent="0.25">
      <c r="B54" s="131"/>
      <c r="C54" s="131"/>
      <c r="D54" s="131"/>
      <c r="E54" s="131"/>
      <c r="F54" s="1"/>
      <c r="G54" s="515"/>
      <c r="H54" s="131"/>
    </row>
    <row r="55" spans="2:8" x14ac:dyDescent="0.25">
      <c r="B55" s="131"/>
      <c r="C55" s="131"/>
      <c r="D55" s="131"/>
      <c r="E55" s="131"/>
      <c r="F55" s="1"/>
      <c r="G55" s="515"/>
      <c r="H55" s="131"/>
    </row>
    <row r="56" spans="2:8" x14ac:dyDescent="0.25">
      <c r="B56" s="513"/>
      <c r="C56" s="513"/>
      <c r="D56" s="513"/>
      <c r="E56" s="513"/>
      <c r="F56" s="1"/>
      <c r="G56" s="515"/>
      <c r="H56" s="513"/>
    </row>
    <row r="68" spans="3:13" ht="13.8" thickBot="1" x14ac:dyDescent="0.3">
      <c r="C68">
        <v>8.7100000000000009</v>
      </c>
      <c r="D68">
        <f>10^2</f>
        <v>100</v>
      </c>
      <c r="E68">
        <f>C68*D68</f>
        <v>871.00000000000011</v>
      </c>
      <c r="H68" s="147" t="s">
        <v>1105</v>
      </c>
      <c r="I68" s="147" t="s">
        <v>119</v>
      </c>
      <c r="J68" s="147"/>
      <c r="K68" s="147"/>
      <c r="L68" s="147"/>
      <c r="M68" s="147"/>
    </row>
    <row r="69" spans="3:13" x14ac:dyDescent="0.25">
      <c r="C69">
        <v>2.19</v>
      </c>
      <c r="D69">
        <f>10^1</f>
        <v>10</v>
      </c>
      <c r="E69">
        <f>C69*D69</f>
        <v>21.9</v>
      </c>
      <c r="H69" s="146" t="s">
        <v>1017</v>
      </c>
      <c r="I69" s="146" t="s">
        <v>432</v>
      </c>
    </row>
    <row r="70" spans="3:13" x14ac:dyDescent="0.25">
      <c r="C70">
        <v>2.19</v>
      </c>
      <c r="D70">
        <f>10^0</f>
        <v>1</v>
      </c>
      <c r="E70">
        <f>C70*D70</f>
        <v>2.19</v>
      </c>
      <c r="H70" s="131" t="str">
        <f>B2</f>
        <v>Barra de refuerzo de acero_CAP Acero</v>
      </c>
      <c r="I70" s="1">
        <f>'A7'!C90</f>
        <v>0</v>
      </c>
    </row>
    <row r="71" spans="3:13" x14ac:dyDescent="0.25">
      <c r="E71"/>
      <c r="H71" s="131" t="str">
        <f t="shared" ref="H71:H122" si="0">B3</f>
        <v xml:space="preserve">Arena </v>
      </c>
      <c r="I71" s="1" t="str">
        <f>'A7'!C91</f>
        <v>Biblioteca DAP Personal</v>
      </c>
    </row>
    <row r="72" spans="3:13" x14ac:dyDescent="0.25">
      <c r="C72">
        <v>-1.74</v>
      </c>
      <c r="D72">
        <f>10^2</f>
        <v>100</v>
      </c>
      <c r="E72">
        <f>C72*D72</f>
        <v>-174</v>
      </c>
      <c r="H72" s="131" t="str">
        <f t="shared" si="0"/>
        <v>Relleno Triturada 3/8"</v>
      </c>
      <c r="I72" s="1" t="str">
        <f>'A7'!C92</f>
        <v>Material.Biblioteca.Personal</v>
      </c>
    </row>
    <row r="73" spans="3:13" x14ac:dyDescent="0.25">
      <c r="D73" s="1"/>
      <c r="H73" s="131" t="str">
        <f t="shared" si="0"/>
        <v>Relleno Triturada 1"</v>
      </c>
      <c r="I73" s="1" t="str">
        <f>'A7'!C93</f>
        <v>PRUEBA MATERIAL PERSONAL 1</v>
      </c>
    </row>
    <row r="74" spans="3:13" x14ac:dyDescent="0.25">
      <c r="D74" s="1"/>
      <c r="H74" s="131" t="str">
        <f t="shared" si="0"/>
        <v>Grava 1,45 ton/m3</v>
      </c>
      <c r="I74" s="1">
        <f>'A7'!C94</f>
        <v>0</v>
      </c>
    </row>
    <row r="75" spans="3:13" x14ac:dyDescent="0.25">
      <c r="D75" s="1"/>
      <c r="H75" s="131" t="str">
        <f t="shared" si="0"/>
        <v>Ready-Mix Concrete G025 (Hormigón)</v>
      </c>
      <c r="I75" s="1">
        <f>'A7'!C95</f>
        <v>0</v>
      </c>
    </row>
    <row r="76" spans="3:13" x14ac:dyDescent="0.25">
      <c r="D76" s="1"/>
      <c r="H76" s="131" t="str">
        <f t="shared" si="0"/>
        <v>Estructura metalcon</v>
      </c>
      <c r="I76" s="1">
        <f>'A7'!C96</f>
        <v>0</v>
      </c>
    </row>
    <row r="77" spans="3:13" x14ac:dyDescent="0.25">
      <c r="D77" s="1"/>
      <c r="H77" s="131" t="str">
        <f t="shared" si="0"/>
        <v>Impermeabilizante (membrana PVC)</v>
      </c>
      <c r="I77" s="1">
        <f>'A7'!C97</f>
        <v>0</v>
      </c>
    </row>
    <row r="78" spans="3:13" x14ac:dyDescent="0.25">
      <c r="D78" s="1"/>
      <c r="H78" s="131" t="str">
        <f t="shared" si="0"/>
        <v>Poliestireno expandido 100mm</v>
      </c>
      <c r="I78" s="1">
        <f>'A7'!C98</f>
        <v>0</v>
      </c>
    </row>
    <row r="79" spans="3:13" x14ac:dyDescent="0.25">
      <c r="D79" s="1"/>
      <c r="H79" s="131" t="str">
        <f t="shared" si="0"/>
        <v>Lana de vidrio_Aislanglass (50 mm)</v>
      </c>
      <c r="I79" s="1">
        <f>'A7'!C99</f>
        <v>0</v>
      </c>
    </row>
    <row r="80" spans="3:13" x14ac:dyDescent="0.25">
      <c r="H80" s="131" t="str">
        <f t="shared" si="0"/>
        <v>Lana de vidrio 50mm</v>
      </c>
      <c r="I80" s="1">
        <f>'A7'!C100</f>
        <v>0</v>
      </c>
    </row>
    <row r="81" spans="8:9" x14ac:dyDescent="0.25">
      <c r="H81" s="131" t="str">
        <f t="shared" si="0"/>
        <v>Plancha volcanita 15mm</v>
      </c>
      <c r="I81" s="1">
        <f>'A7'!C101</f>
        <v>0</v>
      </c>
    </row>
    <row r="82" spans="8:9" x14ac:dyDescent="0.25">
      <c r="H82" s="131" t="str">
        <f t="shared" si="0"/>
        <v>Plancha de fibrocemento Siding 6mm</v>
      </c>
      <c r="I82" s="1">
        <f>'A7'!C102</f>
        <v>0</v>
      </c>
    </row>
    <row r="83" spans="8:9" x14ac:dyDescent="0.25">
      <c r="H83" s="131" t="str">
        <f t="shared" si="0"/>
        <v>Plancha de fibrocemento Base cerámica 6mm</v>
      </c>
      <c r="I83" s="1">
        <f>'A7'!C103</f>
        <v>0</v>
      </c>
    </row>
    <row r="84" spans="8:9" x14ac:dyDescent="0.25">
      <c r="H84" s="131" t="str">
        <f t="shared" si="0"/>
        <v>Plancha de madera terciada_CMPC 6,5-25mm</v>
      </c>
      <c r="I84" s="1">
        <f>'A7'!C104</f>
        <v>0</v>
      </c>
    </row>
    <row r="85" spans="8:9" x14ac:dyDescent="0.25">
      <c r="H85" s="131" t="str">
        <f t="shared" si="0"/>
        <v>Plancha de OSB 9,5mm</v>
      </c>
      <c r="I85" s="1">
        <f>'A7'!C105</f>
        <v>0</v>
      </c>
    </row>
    <row r="86" spans="8:9" x14ac:dyDescent="0.25">
      <c r="H86" s="131" t="str">
        <f t="shared" si="0"/>
        <v>Placa MDF (fibra de madera) 3-25mm</v>
      </c>
      <c r="I86" s="1">
        <f>'A7'!C106</f>
        <v>0</v>
      </c>
    </row>
    <row r="87" spans="8:9" x14ac:dyDescent="0.25">
      <c r="H87" s="131" t="str">
        <f t="shared" si="0"/>
        <v>Madera Laminada Pino Radiata 50mm</v>
      </c>
      <c r="I87" s="1">
        <f>'A7'!C107</f>
        <v>0</v>
      </c>
    </row>
    <row r="88" spans="8:9" x14ac:dyDescent="0.25">
      <c r="H88" s="131" t="str">
        <f t="shared" si="0"/>
        <v>Madera cepillada pino radiata</v>
      </c>
      <c r="I88" s="1">
        <f>'A7'!C108</f>
        <v>0</v>
      </c>
    </row>
    <row r="89" spans="8:9" x14ac:dyDescent="0.25">
      <c r="H89" s="131" t="str">
        <f t="shared" si="0"/>
        <v>Madera CLT</v>
      </c>
      <c r="I89" s="1">
        <f>'A7'!C109</f>
        <v>0</v>
      </c>
    </row>
    <row r="90" spans="8:9" x14ac:dyDescent="0.25">
      <c r="H90" s="131" t="str">
        <f t="shared" si="0"/>
        <v>Panel sandwich con aislante poliuretano expandido_40 mm</v>
      </c>
      <c r="I90" s="1">
        <f>'A7'!C110</f>
        <v>0</v>
      </c>
    </row>
    <row r="91" spans="8:9" x14ac:dyDescent="0.25">
      <c r="H91" s="131" t="str">
        <f t="shared" si="0"/>
        <v>Panel sandwich con aislante poliuretano expandido_60 mm</v>
      </c>
      <c r="I91" s="1">
        <f>'A7'!C111</f>
        <v>0</v>
      </c>
    </row>
    <row r="92" spans="8:9" x14ac:dyDescent="0.25">
      <c r="H92" s="131" t="str">
        <f t="shared" si="0"/>
        <v>Panel sandwich con aislante poliuretano expandido_80 mm</v>
      </c>
      <c r="I92" s="1">
        <f>'A7'!C112</f>
        <v>0</v>
      </c>
    </row>
    <row r="93" spans="8:9" x14ac:dyDescent="0.25">
      <c r="H93" s="131" t="str">
        <f t="shared" si="0"/>
        <v>Ladrillo con perforaciones</v>
      </c>
      <c r="I93" s="1">
        <f>'A7'!C113</f>
        <v>0</v>
      </c>
    </row>
    <row r="94" spans="8:9" x14ac:dyDescent="0.25">
      <c r="H94" s="131" t="str">
        <f t="shared" si="0"/>
        <v>Plancha de acero</v>
      </c>
      <c r="I94" s="1">
        <f>'A7'!C114</f>
        <v>0</v>
      </c>
    </row>
    <row r="95" spans="8:9" x14ac:dyDescent="0.25">
      <c r="H95" s="131" t="str">
        <f t="shared" si="0"/>
        <v>Plancha acero zincalume</v>
      </c>
      <c r="I95" s="1">
        <f>'A7'!C115</f>
        <v>0</v>
      </c>
    </row>
    <row r="96" spans="8:9" x14ac:dyDescent="0.25">
      <c r="H96" s="131" t="str">
        <f t="shared" si="0"/>
        <v>Perfil de acero (espesor 3 a 40 mm / largo 6 a 12 m)</v>
      </c>
      <c r="I96" s="1">
        <f>'A7'!C116</f>
        <v>0</v>
      </c>
    </row>
    <row r="97" spans="8:9" x14ac:dyDescent="0.25">
      <c r="H97" s="131" t="str">
        <f t="shared" si="0"/>
        <v>Puertas madera</v>
      </c>
      <c r="I97" s="1">
        <f>'A7'!C117</f>
        <v>0</v>
      </c>
    </row>
    <row r="98" spans="8:9" x14ac:dyDescent="0.25">
      <c r="H98" s="131" t="str">
        <f t="shared" si="0"/>
        <v xml:space="preserve">Vidrios Plano 4 mm </v>
      </c>
      <c r="I98" s="1">
        <f>'A7'!C118</f>
        <v>0</v>
      </c>
    </row>
    <row r="99" spans="8:9" x14ac:dyDescent="0.25">
      <c r="H99" s="131" t="str">
        <f t="shared" si="0"/>
        <v>Marcos PVC</v>
      </c>
      <c r="I99" s="1">
        <f>'A7'!C119</f>
        <v>0</v>
      </c>
    </row>
    <row r="100" spans="8:9" x14ac:dyDescent="0.25">
      <c r="H100" s="131" t="str">
        <f t="shared" si="0"/>
        <v>Ventana marco PVC y DVH</v>
      </c>
      <c r="I100" s="1">
        <f>'A7'!C120</f>
        <v>0</v>
      </c>
    </row>
    <row r="101" spans="8:9" x14ac:dyDescent="0.25">
      <c r="H101" s="131" t="str">
        <f t="shared" si="0"/>
        <v>Polietileno</v>
      </c>
      <c r="I101" s="1">
        <f>'A7'!C121</f>
        <v>0</v>
      </c>
    </row>
    <row r="102" spans="8:9" x14ac:dyDescent="0.25">
      <c r="H102" s="131" t="str">
        <f t="shared" si="0"/>
        <v>Cerámicas piso y muros</v>
      </c>
      <c r="I102" s="1">
        <f>'A7'!C122</f>
        <v>0</v>
      </c>
    </row>
    <row r="103" spans="8:9" x14ac:dyDescent="0.25">
      <c r="H103" s="131" t="str">
        <f t="shared" si="0"/>
        <v>Radiador secatoallas con agua caliente 844W</v>
      </c>
      <c r="I103" s="1">
        <f>'A7'!C123</f>
        <v>0</v>
      </c>
    </row>
    <row r="104" spans="8:9" x14ac:dyDescent="0.25">
      <c r="H104" s="131" t="str">
        <f t="shared" si="0"/>
        <v>Radiador secatoallas con aguacaliente 844W (unidad)</v>
      </c>
      <c r="I104" s="1">
        <f>'A7'!C124</f>
        <v>0</v>
      </c>
    </row>
    <row r="105" spans="8:9" x14ac:dyDescent="0.25">
      <c r="H105" s="131" t="str">
        <f t="shared" si="0"/>
        <v>Radiador con agua caliente 1,019kw</v>
      </c>
      <c r="I105" s="1">
        <f>'A7'!C125</f>
        <v>0</v>
      </c>
    </row>
    <row r="106" spans="8:9" x14ac:dyDescent="0.25">
      <c r="H106" s="131" t="str">
        <f t="shared" si="0"/>
        <v>Radiador con agua caliente 1,019kw (unidad)</v>
      </c>
      <c r="I106" s="1">
        <f>'A7'!C126</f>
        <v>0</v>
      </c>
    </row>
    <row r="107" spans="8:9" x14ac:dyDescent="0.25">
      <c r="H107" s="131" t="str">
        <f t="shared" si="0"/>
        <v>Acumulador ACS 200 lts</v>
      </c>
      <c r="I107" s="1">
        <f>'A7'!C127</f>
        <v>0</v>
      </c>
    </row>
    <row r="108" spans="8:9" x14ac:dyDescent="0.25">
      <c r="H108" s="131" t="str">
        <f t="shared" si="0"/>
        <v>Caldera ACS a gas 16kw</v>
      </c>
      <c r="I108" s="1">
        <f>'A7'!C128</f>
        <v>0</v>
      </c>
    </row>
    <row r="109" spans="8:9" x14ac:dyDescent="0.25">
      <c r="H109" s="131" t="str">
        <f t="shared" si="0"/>
        <v>Caldera ACS a gas 16kw (unidad)</v>
      </c>
      <c r="I109" s="1">
        <f>'A7'!C129</f>
        <v>0</v>
      </c>
    </row>
    <row r="110" spans="8:9" x14ac:dyDescent="0.25">
      <c r="H110" s="131" t="str">
        <f t="shared" si="0"/>
        <v>Pintura interior al agua baja en COV</v>
      </c>
      <c r="I110" s="1">
        <f>'A7'!C130</f>
        <v>0</v>
      </c>
    </row>
    <row r="111" spans="8:9" x14ac:dyDescent="0.25">
      <c r="H111" s="131" t="str">
        <f t="shared" si="0"/>
        <v>Piso laminado 12mm</v>
      </c>
      <c r="I111" s="1">
        <f>'A7'!C131</f>
        <v>0</v>
      </c>
    </row>
    <row r="112" spans="8:9" x14ac:dyDescent="0.25">
      <c r="H112" s="131" t="str">
        <f t="shared" si="0"/>
        <v>Celulosa proyectada</v>
      </c>
      <c r="I112" s="1">
        <f>'A7'!C132</f>
        <v>0</v>
      </c>
    </row>
    <row r="113" spans="8:9" x14ac:dyDescent="0.25">
      <c r="H113" s="131" t="str">
        <f t="shared" si="0"/>
        <v>Bomba de calor aire-agua frío o calor 4,89kw</v>
      </c>
      <c r="I113" s="1">
        <f>'A7'!C133</f>
        <v>0</v>
      </c>
    </row>
    <row r="114" spans="8:9" x14ac:dyDescent="0.25">
      <c r="H114" s="131" t="str">
        <f t="shared" si="0"/>
        <v>Bomba de calor aire-agua frío o calor 4,89kw (unidad)</v>
      </c>
      <c r="I114" s="1">
        <f>'A7'!C134</f>
        <v>0</v>
      </c>
    </row>
    <row r="115" spans="8:9" x14ac:dyDescent="0.25">
      <c r="H115" s="131" t="str">
        <f t="shared" si="0"/>
        <v>Calentador eléctrico de ACS</v>
      </c>
      <c r="I115" s="1">
        <f>'A7'!C135</f>
        <v>0</v>
      </c>
    </row>
    <row r="116" spans="8:9" x14ac:dyDescent="0.25">
      <c r="H116" s="131" t="str">
        <f>B48</f>
        <v>Panel fotovoltaico 423Wp</v>
      </c>
    </row>
    <row r="117" spans="8:9" x14ac:dyDescent="0.25">
      <c r="H117" s="131" t="str">
        <f t="shared" si="0"/>
        <v>Fancoil (potencia de calor 0,8-17KW y de frío 0,6-12KW)</v>
      </c>
    </row>
    <row r="118" spans="8:9" x14ac:dyDescent="0.25">
      <c r="H118" s="131" t="str">
        <f t="shared" si="0"/>
        <v>Extractor / Ventilador (independiente) caudal 42m3/h</v>
      </c>
    </row>
    <row r="119" spans="8:9" x14ac:dyDescent="0.25">
      <c r="H119" s="131" t="str">
        <f>B51</f>
        <v>Ascensor (5 pisos)</v>
      </c>
    </row>
    <row r="120" spans="8:9" x14ac:dyDescent="0.25">
      <c r="H120" s="131" t="str">
        <f t="shared" si="0"/>
        <v>Caldera biomasa 8kw</v>
      </c>
    </row>
    <row r="121" spans="8:9" x14ac:dyDescent="0.25">
      <c r="H121" s="131" t="str">
        <f t="shared" si="0"/>
        <v>Caldera biomasa 8kw (unidad)</v>
      </c>
    </row>
    <row r="122" spans="8:9" x14ac:dyDescent="0.25">
      <c r="H122" s="131">
        <f t="shared" si="0"/>
        <v>0</v>
      </c>
    </row>
    <row r="124" spans="8:9" x14ac:dyDescent="0.25">
      <c r="H124" s="148" t="s">
        <v>142</v>
      </c>
      <c r="I124" s="148" t="s">
        <v>36</v>
      </c>
    </row>
    <row r="125" spans="8:9" x14ac:dyDescent="0.25">
      <c r="H125" s="148" t="s">
        <v>432</v>
      </c>
      <c r="I125" s="148" t="s">
        <v>912</v>
      </c>
    </row>
    <row r="126" spans="8:9" x14ac:dyDescent="0.25">
      <c r="H126" s="148" t="s">
        <v>432</v>
      </c>
      <c r="I126" s="148" t="s">
        <v>1106</v>
      </c>
    </row>
  </sheetData>
  <phoneticPr fontId="17" type="noConversion"/>
  <dataValidations disablePrompts="1" count="3">
    <dataValidation type="list" allowBlank="1" showInputMessage="1" showErrorMessage="1" sqref="B114 H125" xr:uid="{6A090321-02AC-4A1B-A396-135F21B386FE}">
      <formula1>$H$69:$I$69</formula1>
    </dataValidation>
    <dataValidation type="list" allowBlank="1" showInputMessage="1" showErrorMessage="1" sqref="I125:I126" xr:uid="{0DD5E7B5-0BE4-416D-A65C-D92B3410626F}">
      <formula1>INDIRECT($H$125)</formula1>
    </dataValidation>
    <dataValidation type="list" allowBlank="1" showInputMessage="1" showErrorMessage="1" sqref="H126" xr:uid="{5BDEC0D1-AB74-4020-A501-D4D37A576430}">
      <formula1>"Material.Biblioteca.Minergie,Material.Biblioteca.Personal"</formula1>
    </dataValidation>
  </dataValidations>
  <hyperlinks>
    <hyperlink ref="E16" r:id="rId1" xr:uid="{334A0E0E-F565-4A48-BB02-BBD3E1EF8E51}"/>
    <hyperlink ref="E14" r:id="rId2" xr:uid="{01DB85A1-12E2-45EF-A9AE-EAFB00C535A2}"/>
    <hyperlink ref="E15" r:id="rId3" xr:uid="{44AC5874-1235-4380-B809-A1DB7A97B842}"/>
    <hyperlink ref="E22" r:id="rId4" xr:uid="{911DC8D4-2E83-4D63-A0D9-07502B4D4AFE}"/>
    <hyperlink ref="E23:E24" r:id="rId5" display="S-P-003362" xr:uid="{A29A40B9-4F0A-4912-A168-E59CC4F5B9AA}"/>
    <hyperlink ref="E28" r:id="rId6" xr:uid="{608F9B85-0FB4-4F11-AC64-B8F704FA1A11}"/>
    <hyperlink ref="E3" r:id="rId7" xr:uid="{C4CB1808-64FB-4289-BF4B-9BCCD72D8AEB}"/>
    <hyperlink ref="E4" r:id="rId8" xr:uid="{5F234122-91B1-4DAF-8ECB-F158B3C60112}"/>
    <hyperlink ref="E5" r:id="rId9" xr:uid="{27644A8B-ECF5-4385-8DFC-AB68FAA1771D}"/>
    <hyperlink ref="E7" r:id="rId10" xr:uid="{A75325A8-E16C-4EB3-9CD0-F1B0BB3BB0FB}"/>
    <hyperlink ref="E32" r:id="rId11" xr:uid="{BC0B816F-8B53-4618-AF02-2E516A3EF10B}"/>
    <hyperlink ref="E50" r:id="rId12" xr:uid="{2902E2AB-D3C7-43A0-8CC4-858C78046CC5}"/>
    <hyperlink ref="E51" r:id="rId13" xr:uid="{A274A125-B399-4641-952E-CFB5F277087C}"/>
    <hyperlink ref="E47" r:id="rId14" xr:uid="{00E75F08-9403-4BC0-84DD-6759483FC51B}"/>
    <hyperlink ref="E48" r:id="rId15" xr:uid="{C56301F5-E3CB-4719-8E0C-8821203656E2}"/>
    <hyperlink ref="E49" r:id="rId16" xr:uid="{DBE0A0CC-C620-4AE0-A123-64D8E46AC248}"/>
    <hyperlink ref="E44" r:id="rId17" xr:uid="{3BFEC7E2-839E-4C45-9A05-391851A7D17C}"/>
    <hyperlink ref="E10" r:id="rId18" xr:uid="{599EDE7C-3ABE-428F-8B31-FAB043BF40D2}"/>
    <hyperlink ref="E18" r:id="rId19" xr:uid="{5E882324-FE70-4D2F-83DE-2BD43AB03FDA}"/>
    <hyperlink ref="E8" r:id="rId20" xr:uid="{882E5007-0D54-4D43-8B04-B9F666D5C798}"/>
    <hyperlink ref="E9" r:id="rId21" xr:uid="{3C881416-16C7-41D6-9751-41FA0999825F}"/>
    <hyperlink ref="E11" r:id="rId22" xr:uid="{F7AA922C-23C4-428E-AB60-E9337084AABF}"/>
    <hyperlink ref="E12" r:id="rId23" xr:uid="{087A44A0-6627-47C2-B9D6-C6BD819BF672}"/>
    <hyperlink ref="E13" r:id="rId24" xr:uid="{571E807C-FF1C-403E-98F5-D7D8B0E58550}"/>
    <hyperlink ref="E21" r:id="rId25" xr:uid="{AC3C9B1C-D1A3-420C-864A-CCFF738A0745}"/>
    <hyperlink ref="E25" r:id="rId26" xr:uid="{013C2921-001E-442E-B758-B86F7C268A15}"/>
    <hyperlink ref="E26" r:id="rId27" xr:uid="{F35BD5C0-ED04-439B-BD44-23A4BB3F2923}"/>
    <hyperlink ref="E33" r:id="rId28" xr:uid="{271E375B-2BC5-44E4-83DB-794BBE698E06}"/>
    <hyperlink ref="E34" r:id="rId29" xr:uid="{C6642384-3B70-4073-B9F7-624C3ECEAB98}"/>
    <hyperlink ref="E42" r:id="rId30" xr:uid="{55F78077-5DEC-4CFC-9875-C34A76D9E6E6}"/>
    <hyperlink ref="E43" r:id="rId31" xr:uid="{9E22305F-C67F-4CF7-BBC7-FCFE96411A80}"/>
    <hyperlink ref="E19" r:id="rId32" xr:uid="{AB997647-D256-4641-854E-2081F65A00E2}"/>
    <hyperlink ref="E17" r:id="rId33" xr:uid="{A0FDAB17-429D-43A0-BDED-BBA66DBF1E3D}"/>
    <hyperlink ref="E6" r:id="rId34" xr:uid="{249ED02F-051A-4940-B4EC-2E2B52013E78}"/>
    <hyperlink ref="E27" r:id="rId35" xr:uid="{900167FE-59D9-4B04-A043-B68C0EE305F6}"/>
    <hyperlink ref="E35" r:id="rId36" xr:uid="{BEF985E5-0EE2-4780-B8C2-B0B1B84F7041}"/>
    <hyperlink ref="E36" r:id="rId37" xr:uid="{066C1370-6B20-479C-B24D-5299F445D9DE}"/>
    <hyperlink ref="E37" r:id="rId38" xr:uid="{52172280-112E-4D96-85A9-6CB9656486E4}"/>
    <hyperlink ref="E38" r:id="rId39" xr:uid="{C832D400-FCD1-4084-9D23-EDEE0E61AD9D}"/>
    <hyperlink ref="E39" r:id="rId40" xr:uid="{BE06441E-7051-4F6F-8D0C-1BCA236F459E}"/>
    <hyperlink ref="E40" r:id="rId41" xr:uid="{AF1B0585-654F-4304-ADE7-4C26CD81FE3C}"/>
    <hyperlink ref="E41" r:id="rId42" xr:uid="{D9A0A0C5-EBC4-4E68-9943-7D57EE79E88D}"/>
    <hyperlink ref="E45" r:id="rId43" xr:uid="{6259199E-E68D-41D6-9F23-7FF59ECC3996}"/>
    <hyperlink ref="E46" r:id="rId44" xr:uid="{DCAE3DBC-5660-4D95-B409-540E0CB8243D}"/>
    <hyperlink ref="E52" r:id="rId45" xr:uid="{4E7A33EF-5AFC-4273-8AF0-D947BE58272F}"/>
    <hyperlink ref="E53" r:id="rId46" xr:uid="{0B52E2F9-B48C-4236-815B-5434C4057705}"/>
  </hyperlinks>
  <pageMargins left="0.7" right="0.7" top="0.75" bottom="0.75" header="0.3" footer="0.3"/>
  <tableParts count="3">
    <tablePart r:id="rId47"/>
    <tablePart r:id="rId48"/>
    <tablePart r:id="rId4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U88"/>
  <sheetViews>
    <sheetView showGridLines="0" zoomScale="110" zoomScaleNormal="110" zoomScalePageLayoutView="80" workbookViewId="0">
      <selection activeCell="B27" sqref="B27:F27"/>
    </sheetView>
  </sheetViews>
  <sheetFormatPr defaultColWidth="8.6640625" defaultRowHeight="13.2" x14ac:dyDescent="0.25"/>
  <cols>
    <col min="1" max="1" width="5.33203125" customWidth="1"/>
    <col min="2" max="2" width="23.6640625" customWidth="1"/>
    <col min="3" max="6" width="15.6640625" customWidth="1"/>
    <col min="7" max="7" width="2.33203125" customWidth="1"/>
    <col min="11" max="11" width="14.33203125" customWidth="1"/>
    <col min="15" max="15" width="10" customWidth="1"/>
    <col min="16" max="21" width="11.5546875" customWidth="1"/>
  </cols>
  <sheetData>
    <row r="1" spans="1:5" s="128" customFormat="1" ht="26.7" customHeight="1" x14ac:dyDescent="0.25">
      <c r="A1" s="126" t="s">
        <v>9</v>
      </c>
      <c r="B1" s="127" t="s">
        <v>10</v>
      </c>
      <c r="C1" s="127"/>
      <c r="D1" s="127"/>
      <c r="E1" s="127"/>
    </row>
    <row r="2" spans="1:5" ht="13.8" thickBot="1" x14ac:dyDescent="0.3"/>
    <row r="3" spans="1:5" ht="13.8" thickBot="1" x14ac:dyDescent="0.3">
      <c r="B3" s="688" t="s">
        <v>11</v>
      </c>
      <c r="C3" s="689"/>
      <c r="D3" s="690"/>
    </row>
    <row r="4" spans="1:5" ht="13.8" thickBot="1" x14ac:dyDescent="0.3">
      <c r="B4" s="71" t="s">
        <v>12</v>
      </c>
      <c r="C4" s="75" t="s">
        <v>13</v>
      </c>
      <c r="D4" s="76" t="s">
        <v>5</v>
      </c>
    </row>
    <row r="5" spans="1:5" x14ac:dyDescent="0.25">
      <c r="B5" s="5" t="s">
        <v>14</v>
      </c>
      <c r="C5" s="78">
        <v>0.32</v>
      </c>
      <c r="D5" s="6" t="s">
        <v>7</v>
      </c>
    </row>
    <row r="6" spans="1:5" x14ac:dyDescent="0.25">
      <c r="B6" s="7" t="s">
        <v>15</v>
      </c>
      <c r="C6" s="79">
        <v>0.27</v>
      </c>
      <c r="D6" s="10" t="s">
        <v>7</v>
      </c>
    </row>
    <row r="7" spans="1:5" x14ac:dyDescent="0.25">
      <c r="B7" s="7" t="s">
        <v>16</v>
      </c>
      <c r="C7" s="79">
        <v>0.27</v>
      </c>
      <c r="D7" s="10" t="s">
        <v>7</v>
      </c>
    </row>
    <row r="8" spans="1:5" x14ac:dyDescent="0.25">
      <c r="B8" s="7" t="s">
        <v>17</v>
      </c>
      <c r="C8" s="79"/>
      <c r="D8" s="10" t="s">
        <v>7</v>
      </c>
    </row>
    <row r="9" spans="1:5" ht="13.8" thickBot="1" x14ac:dyDescent="0.3">
      <c r="B9" s="8" t="s">
        <v>18</v>
      </c>
      <c r="C9" s="80"/>
      <c r="D9" s="11" t="s">
        <v>7</v>
      </c>
    </row>
    <row r="10" spans="1:5" x14ac:dyDescent="0.25">
      <c r="B10" s="5" t="s">
        <v>19</v>
      </c>
      <c r="C10" s="78">
        <v>0.2</v>
      </c>
      <c r="D10" s="6" t="s">
        <v>7</v>
      </c>
    </row>
    <row r="11" spans="1:5" x14ac:dyDescent="0.25">
      <c r="B11" s="7" t="s">
        <v>20</v>
      </c>
      <c r="C11" s="79"/>
      <c r="D11" s="10" t="s">
        <v>7</v>
      </c>
    </row>
    <row r="12" spans="1:5" ht="13.8" thickBot="1" x14ac:dyDescent="0.3">
      <c r="B12" s="8" t="s">
        <v>21</v>
      </c>
      <c r="C12" s="80"/>
      <c r="D12" s="11" t="s">
        <v>7</v>
      </c>
    </row>
    <row r="13" spans="1:5" x14ac:dyDescent="0.25">
      <c r="B13" s="5" t="s">
        <v>22</v>
      </c>
      <c r="C13" s="78">
        <v>0.33</v>
      </c>
      <c r="D13" s="6" t="s">
        <v>7</v>
      </c>
    </row>
    <row r="14" spans="1:5" x14ac:dyDescent="0.25">
      <c r="B14" s="7" t="s">
        <v>23</v>
      </c>
      <c r="C14" s="79">
        <v>0.4</v>
      </c>
      <c r="D14" s="10" t="s">
        <v>7</v>
      </c>
    </row>
    <row r="15" spans="1:5" ht="13.8" thickBot="1" x14ac:dyDescent="0.3">
      <c r="B15" s="8" t="s">
        <v>24</v>
      </c>
      <c r="C15" s="80"/>
      <c r="D15" s="11" t="s">
        <v>7</v>
      </c>
    </row>
    <row r="16" spans="1:5" x14ac:dyDescent="0.25">
      <c r="B16" s="5" t="s">
        <v>25</v>
      </c>
      <c r="C16" s="78">
        <v>1.6</v>
      </c>
      <c r="D16" s="6" t="s">
        <v>7</v>
      </c>
    </row>
    <row r="17" spans="2:21" x14ac:dyDescent="0.25">
      <c r="B17" s="7" t="s">
        <v>26</v>
      </c>
      <c r="C17" s="79"/>
      <c r="D17" s="10" t="s">
        <v>7</v>
      </c>
    </row>
    <row r="18" spans="2:21" ht="13.8" thickBot="1" x14ac:dyDescent="0.3">
      <c r="B18" s="8" t="s">
        <v>27</v>
      </c>
      <c r="C18" s="80"/>
      <c r="D18" s="11" t="s">
        <v>7</v>
      </c>
    </row>
    <row r="19" spans="2:21" x14ac:dyDescent="0.25">
      <c r="B19" s="5" t="s">
        <v>28</v>
      </c>
      <c r="C19" s="78">
        <v>1.9</v>
      </c>
      <c r="D19" s="6" t="s">
        <v>7</v>
      </c>
    </row>
    <row r="20" spans="2:21" ht="13.8" thickBot="1" x14ac:dyDescent="0.3">
      <c r="B20" s="8" t="s">
        <v>29</v>
      </c>
      <c r="C20" s="80"/>
      <c r="D20" s="11" t="s">
        <v>7</v>
      </c>
    </row>
    <row r="24" spans="2:21" s="27" customFormat="1" x14ac:dyDescent="0.25">
      <c r="B24" s="687" t="s">
        <v>30</v>
      </c>
    </row>
    <row r="25" spans="2:21" s="27" customFormat="1" x14ac:dyDescent="0.25">
      <c r="B25" s="29" t="s">
        <v>31</v>
      </c>
    </row>
    <row r="26" spans="2:21" x14ac:dyDescent="0.25">
      <c r="O26" s="792"/>
      <c r="P26" s="792"/>
      <c r="Q26" s="792"/>
      <c r="R26" s="792"/>
      <c r="S26" s="792"/>
      <c r="T26" s="792"/>
      <c r="U26" s="792"/>
    </row>
    <row r="27" spans="2:21" ht="12.45" customHeight="1" x14ac:dyDescent="0.25">
      <c r="B27" s="781" t="s">
        <v>32</v>
      </c>
      <c r="C27" s="781"/>
      <c r="D27" s="781"/>
      <c r="E27" s="781"/>
      <c r="F27" s="781"/>
      <c r="O27" s="792"/>
    </row>
    <row r="28" spans="2:21" x14ac:dyDescent="0.25">
      <c r="B28" s="782" t="s">
        <v>33</v>
      </c>
      <c r="C28" s="782"/>
      <c r="D28" s="782"/>
      <c r="E28" s="782"/>
      <c r="F28" s="782"/>
      <c r="H28" s="792"/>
      <c r="I28" s="792"/>
      <c r="J28" s="792"/>
      <c r="K28" s="792"/>
      <c r="L28" s="792"/>
      <c r="O28" s="792"/>
    </row>
    <row r="29" spans="2:21" x14ac:dyDescent="0.25">
      <c r="B29" s="782" t="s">
        <v>34</v>
      </c>
      <c r="C29" s="782"/>
      <c r="D29" s="782"/>
      <c r="E29" s="782"/>
      <c r="F29" s="782"/>
      <c r="O29" s="792"/>
    </row>
    <row r="30" spans="2:21" x14ac:dyDescent="0.25">
      <c r="B30" s="782" t="s">
        <v>35</v>
      </c>
      <c r="C30" s="782"/>
      <c r="D30" s="782"/>
      <c r="E30" s="782"/>
      <c r="F30" s="782"/>
      <c r="O30" s="792"/>
    </row>
    <row r="31" spans="2:21" ht="13.8" thickBot="1" x14ac:dyDescent="0.3">
      <c r="O31" s="792"/>
    </row>
    <row r="32" spans="2:21" s="150" customFormat="1" ht="26.7" customHeight="1" thickBot="1" x14ac:dyDescent="0.3">
      <c r="B32" s="104" t="s">
        <v>36</v>
      </c>
      <c r="C32" s="162" t="s">
        <v>37</v>
      </c>
      <c r="D32" s="62" t="s">
        <v>38</v>
      </c>
      <c r="E32" s="63" t="s">
        <v>39</v>
      </c>
      <c r="F32" s="61" t="s">
        <v>40</v>
      </c>
      <c r="H32" s="793" t="s">
        <v>41</v>
      </c>
      <c r="I32" s="793"/>
      <c r="J32" s="793"/>
      <c r="K32" s="793"/>
      <c r="L32" s="793"/>
      <c r="O32" s="792"/>
      <c r="P32"/>
      <c r="Q32"/>
      <c r="R32"/>
      <c r="S32"/>
      <c r="T32"/>
      <c r="U32"/>
    </row>
    <row r="33" spans="2:12" ht="13.8" thickBot="1" x14ac:dyDescent="0.3">
      <c r="B33" s="151" t="s">
        <v>42</v>
      </c>
      <c r="C33" s="152"/>
      <c r="D33" s="152"/>
      <c r="E33" s="153"/>
      <c r="F33" s="532">
        <v>0.12</v>
      </c>
      <c r="H33" s="793"/>
      <c r="I33" s="793"/>
      <c r="J33" s="793"/>
      <c r="K33" s="793"/>
      <c r="L33" s="793"/>
    </row>
    <row r="34" spans="2:12" x14ac:dyDescent="0.25">
      <c r="B34" s="92" t="s">
        <v>43</v>
      </c>
      <c r="C34" s="533">
        <v>0.3</v>
      </c>
      <c r="D34" s="534">
        <v>2400</v>
      </c>
      <c r="E34" s="535">
        <v>1.63</v>
      </c>
      <c r="F34" s="154">
        <f>IFERROR(C34/E34,"")</f>
        <v>0.18404907975460122</v>
      </c>
      <c r="H34" s="793"/>
      <c r="I34" s="793"/>
      <c r="J34" s="793"/>
      <c r="K34" s="793"/>
      <c r="L34" s="793"/>
    </row>
    <row r="35" spans="2:12" x14ac:dyDescent="0.25">
      <c r="B35" s="90" t="s">
        <v>44</v>
      </c>
      <c r="C35" s="536">
        <v>0.1</v>
      </c>
      <c r="D35" s="537">
        <v>20</v>
      </c>
      <c r="E35" s="538">
        <v>3.8399999999999997E-2</v>
      </c>
      <c r="F35" s="155">
        <f t="shared" ref="F35:F41" si="0">IFERROR(C35/E35,"")</f>
        <v>2.604166666666667</v>
      </c>
    </row>
    <row r="36" spans="2:12" x14ac:dyDescent="0.25">
      <c r="B36" s="90"/>
      <c r="C36" s="536"/>
      <c r="D36" s="537"/>
      <c r="E36" s="538"/>
      <c r="F36" s="155" t="str">
        <f t="shared" si="0"/>
        <v/>
      </c>
    </row>
    <row r="37" spans="2:12" x14ac:dyDescent="0.25">
      <c r="B37" s="90"/>
      <c r="C37" s="536"/>
      <c r="D37" s="537"/>
      <c r="E37" s="538"/>
      <c r="F37" s="155" t="str">
        <f t="shared" si="0"/>
        <v/>
      </c>
    </row>
    <row r="38" spans="2:12" x14ac:dyDescent="0.25">
      <c r="B38" s="90"/>
      <c r="C38" s="536"/>
      <c r="D38" s="537"/>
      <c r="E38" s="538"/>
      <c r="F38" s="155" t="str">
        <f t="shared" si="0"/>
        <v/>
      </c>
    </row>
    <row r="39" spans="2:12" x14ac:dyDescent="0.25">
      <c r="B39" s="90"/>
      <c r="C39" s="536"/>
      <c r="D39" s="537"/>
      <c r="E39" s="538"/>
      <c r="F39" s="155" t="str">
        <f t="shared" ref="F39:F40" si="1">IFERROR(C39/E39,"")</f>
        <v/>
      </c>
    </row>
    <row r="40" spans="2:12" x14ac:dyDescent="0.25">
      <c r="B40" s="90"/>
      <c r="C40" s="536"/>
      <c r="D40" s="537"/>
      <c r="E40" s="538"/>
      <c r="F40" s="155" t="str">
        <f t="shared" si="1"/>
        <v/>
      </c>
    </row>
    <row r="41" spans="2:12" ht="13.8" thickBot="1" x14ac:dyDescent="0.3">
      <c r="B41" s="91"/>
      <c r="C41" s="539"/>
      <c r="D41" s="540"/>
      <c r="E41" s="541"/>
      <c r="F41" s="156" t="str">
        <f t="shared" si="0"/>
        <v/>
      </c>
    </row>
    <row r="42" spans="2:12" ht="13.8" thickBot="1" x14ac:dyDescent="0.3">
      <c r="B42" s="151" t="s">
        <v>45</v>
      </c>
      <c r="C42" s="152"/>
      <c r="D42" s="152"/>
      <c r="E42" s="153"/>
      <c r="F42" s="542">
        <v>0.05</v>
      </c>
    </row>
    <row r="43" spans="2:12" x14ac:dyDescent="0.25">
      <c r="B43" s="786" t="s">
        <v>46</v>
      </c>
      <c r="C43" s="787"/>
      <c r="D43" s="787"/>
      <c r="E43" s="788"/>
      <c r="F43" s="157">
        <f>SUM(F33:F42)</f>
        <v>2.9582157464212679</v>
      </c>
    </row>
    <row r="44" spans="2:12" ht="13.8" thickBot="1" x14ac:dyDescent="0.3">
      <c r="B44" s="803" t="s">
        <v>47</v>
      </c>
      <c r="C44" s="804"/>
      <c r="D44" s="804"/>
      <c r="E44" s="805"/>
      <c r="F44" s="158">
        <f>1/F43</f>
        <v>0.33804160538654437</v>
      </c>
    </row>
    <row r="47" spans="2:12" s="27" customFormat="1" x14ac:dyDescent="0.25">
      <c r="B47" s="29" t="s">
        <v>48</v>
      </c>
    </row>
    <row r="49" spans="2:12" ht="12.45" customHeight="1" x14ac:dyDescent="0.25">
      <c r="B49" s="781" t="s">
        <v>49</v>
      </c>
      <c r="C49" s="781"/>
      <c r="D49" s="781"/>
      <c r="E49" s="781"/>
      <c r="F49" s="781"/>
    </row>
    <row r="50" spans="2:12" ht="12.45" customHeight="1" x14ac:dyDescent="0.25">
      <c r="B50" s="782" t="s">
        <v>50</v>
      </c>
      <c r="C50" s="782"/>
      <c r="D50" s="782"/>
      <c r="E50" s="782"/>
      <c r="F50" s="782"/>
      <c r="H50" s="792"/>
      <c r="I50" s="792"/>
      <c r="J50" s="792"/>
      <c r="K50" s="792"/>
      <c r="L50" s="792"/>
    </row>
    <row r="51" spans="2:12" ht="12.45" customHeight="1" x14ac:dyDescent="0.25">
      <c r="B51" s="782" t="s">
        <v>51</v>
      </c>
      <c r="C51" s="782"/>
      <c r="D51" s="782"/>
      <c r="E51" s="782"/>
      <c r="F51" s="782"/>
    </row>
    <row r="52" spans="2:12" ht="12.45" customHeight="1" x14ac:dyDescent="0.25">
      <c r="B52" s="782" t="s">
        <v>52</v>
      </c>
      <c r="C52" s="782"/>
      <c r="D52" s="782"/>
      <c r="E52" s="782"/>
      <c r="F52" s="782"/>
    </row>
    <row r="53" spans="2:12" ht="13.8" thickBot="1" x14ac:dyDescent="0.3"/>
    <row r="54" spans="2:12" ht="13.8" thickBot="1" x14ac:dyDescent="0.3">
      <c r="B54" s="783" t="s">
        <v>53</v>
      </c>
      <c r="C54" s="784"/>
      <c r="D54" s="784"/>
      <c r="E54" s="784"/>
      <c r="F54" s="785"/>
      <c r="H54" s="793" t="s">
        <v>54</v>
      </c>
      <c r="I54" s="793"/>
      <c r="J54" s="793"/>
      <c r="K54" s="793"/>
      <c r="L54" s="793"/>
    </row>
    <row r="55" spans="2:12" s="150" customFormat="1" ht="27" thickBot="1" x14ac:dyDescent="0.3">
      <c r="B55" s="104" t="s">
        <v>36</v>
      </c>
      <c r="C55" s="162" t="s">
        <v>37</v>
      </c>
      <c r="D55" s="62" t="s">
        <v>38</v>
      </c>
      <c r="E55" s="63" t="s">
        <v>39</v>
      </c>
      <c r="F55" s="61" t="s">
        <v>40</v>
      </c>
      <c r="H55" s="793"/>
      <c r="I55" s="793"/>
      <c r="J55" s="793"/>
      <c r="K55" s="793"/>
      <c r="L55" s="793"/>
    </row>
    <row r="56" spans="2:12" ht="13.8" thickBot="1" x14ac:dyDescent="0.3">
      <c r="B56" s="151" t="s">
        <v>42</v>
      </c>
      <c r="C56" s="152"/>
      <c r="D56" s="152"/>
      <c r="E56" s="153"/>
      <c r="F56" s="532">
        <v>0.12</v>
      </c>
      <c r="H56" s="793"/>
      <c r="I56" s="793"/>
      <c r="J56" s="793"/>
      <c r="K56" s="793"/>
      <c r="L56" s="793"/>
    </row>
    <row r="57" spans="2:12" x14ac:dyDescent="0.25">
      <c r="B57" s="92" t="s">
        <v>55</v>
      </c>
      <c r="C57" s="533">
        <v>1.4999999999999999E-2</v>
      </c>
      <c r="D57" s="534">
        <v>850</v>
      </c>
      <c r="E57" s="535">
        <v>0.23</v>
      </c>
      <c r="F57" s="154">
        <f>IFERROR(C57/E57,"")</f>
        <v>6.5217391304347824E-2</v>
      </c>
      <c r="H57" s="169"/>
    </row>
    <row r="58" spans="2:12" x14ac:dyDescent="0.25">
      <c r="B58" s="90" t="s">
        <v>56</v>
      </c>
      <c r="C58" s="536">
        <v>0.115</v>
      </c>
      <c r="D58" s="537">
        <v>410</v>
      </c>
      <c r="E58" s="538">
        <v>0.104</v>
      </c>
      <c r="F58" s="155">
        <f t="shared" ref="F58:F64" si="2">IFERROR(C58/E58,"")</f>
        <v>1.1057692307692308</v>
      </c>
    </row>
    <row r="59" spans="2:12" x14ac:dyDescent="0.25">
      <c r="B59" s="90" t="s">
        <v>55</v>
      </c>
      <c r="C59" s="536">
        <v>1.4999999999999999E-2</v>
      </c>
      <c r="D59" s="537">
        <v>850</v>
      </c>
      <c r="E59" s="538">
        <v>0.23</v>
      </c>
      <c r="F59" s="155">
        <f t="shared" si="2"/>
        <v>6.5217391304347824E-2</v>
      </c>
    </row>
    <row r="60" spans="2:12" x14ac:dyDescent="0.25">
      <c r="B60" s="90"/>
      <c r="C60" s="536"/>
      <c r="D60" s="537"/>
      <c r="E60" s="538"/>
      <c r="F60" s="155" t="str">
        <f t="shared" ref="F60:F61" si="3">IFERROR(C60/E60,"")</f>
        <v/>
      </c>
    </row>
    <row r="61" spans="2:12" x14ac:dyDescent="0.25">
      <c r="B61" s="90"/>
      <c r="C61" s="536"/>
      <c r="D61" s="537"/>
      <c r="E61" s="538"/>
      <c r="F61" s="155" t="str">
        <f t="shared" si="3"/>
        <v/>
      </c>
    </row>
    <row r="62" spans="2:12" x14ac:dyDescent="0.25">
      <c r="B62" s="90"/>
      <c r="C62" s="536"/>
      <c r="D62" s="537"/>
      <c r="E62" s="538"/>
      <c r="F62" s="155" t="str">
        <f t="shared" si="2"/>
        <v/>
      </c>
    </row>
    <row r="63" spans="2:12" x14ac:dyDescent="0.25">
      <c r="B63" s="90"/>
      <c r="C63" s="536"/>
      <c r="D63" s="537"/>
      <c r="E63" s="538"/>
      <c r="F63" s="155" t="str">
        <f t="shared" si="2"/>
        <v/>
      </c>
    </row>
    <row r="64" spans="2:12" ht="13.8" thickBot="1" x14ac:dyDescent="0.3">
      <c r="B64" s="91"/>
      <c r="C64" s="539"/>
      <c r="D64" s="540"/>
      <c r="E64" s="541"/>
      <c r="F64" s="156" t="str">
        <f t="shared" si="2"/>
        <v/>
      </c>
    </row>
    <row r="65" spans="2:6" ht="13.8" thickBot="1" x14ac:dyDescent="0.3">
      <c r="B65" s="151" t="s">
        <v>45</v>
      </c>
      <c r="C65" s="152"/>
      <c r="D65" s="152"/>
      <c r="E65" s="153"/>
      <c r="F65" s="542">
        <v>0.05</v>
      </c>
    </row>
    <row r="66" spans="2:6" x14ac:dyDescent="0.25">
      <c r="B66" s="786" t="s">
        <v>46</v>
      </c>
      <c r="C66" s="787"/>
      <c r="D66" s="787"/>
      <c r="E66" s="788"/>
      <c r="F66" s="157">
        <f>SUM(F56:F65)</f>
        <v>1.4062040133779266</v>
      </c>
    </row>
    <row r="67" spans="2:6" ht="13.8" thickBot="1" x14ac:dyDescent="0.3">
      <c r="B67" s="789" t="s">
        <v>57</v>
      </c>
      <c r="C67" s="790"/>
      <c r="D67" s="790"/>
      <c r="E67" s="791"/>
      <c r="F67" s="161">
        <f>1/F66</f>
        <v>0.71113436634122551</v>
      </c>
    </row>
    <row r="68" spans="2:6" ht="13.8" thickBot="1" x14ac:dyDescent="0.3"/>
    <row r="69" spans="2:6" ht="13.8" thickBot="1" x14ac:dyDescent="0.3">
      <c r="B69" s="783" t="s">
        <v>58</v>
      </c>
      <c r="C69" s="784"/>
      <c r="D69" s="784"/>
      <c r="E69" s="784"/>
      <c r="F69" s="785"/>
    </row>
    <row r="70" spans="2:6" s="150" customFormat="1" ht="27" thickBot="1" x14ac:dyDescent="0.3">
      <c r="B70" s="104" t="s">
        <v>36</v>
      </c>
      <c r="C70" s="162" t="s">
        <v>37</v>
      </c>
      <c r="D70" s="62" t="s">
        <v>38</v>
      </c>
      <c r="E70" s="63" t="s">
        <v>39</v>
      </c>
      <c r="F70" s="61" t="s">
        <v>40</v>
      </c>
    </row>
    <row r="71" spans="2:6" ht="13.8" thickBot="1" x14ac:dyDescent="0.3">
      <c r="B71" s="151" t="s">
        <v>42</v>
      </c>
      <c r="C71" s="152"/>
      <c r="D71" s="152"/>
      <c r="E71" s="153"/>
      <c r="F71" s="532">
        <v>0.12</v>
      </c>
    </row>
    <row r="72" spans="2:6" x14ac:dyDescent="0.25">
      <c r="B72" s="92" t="s">
        <v>55</v>
      </c>
      <c r="C72" s="533">
        <v>1.4999999999999999E-2</v>
      </c>
      <c r="D72" s="534">
        <v>850</v>
      </c>
      <c r="E72" s="535">
        <v>0.23</v>
      </c>
      <c r="F72" s="154">
        <f>IFERROR(C72/E72,"")</f>
        <v>6.5217391304347824E-2</v>
      </c>
    </row>
    <row r="73" spans="2:6" x14ac:dyDescent="0.25">
      <c r="B73" s="90" t="s">
        <v>59</v>
      </c>
      <c r="C73" s="536">
        <v>0.115</v>
      </c>
      <c r="D73" s="537">
        <v>26</v>
      </c>
      <c r="E73" s="538">
        <v>4.1000000000000002E-2</v>
      </c>
      <c r="F73" s="155">
        <f t="shared" ref="F73:F79" si="4">IFERROR(C73/E73,"")</f>
        <v>2.8048780487804876</v>
      </c>
    </row>
    <row r="74" spans="2:6" x14ac:dyDescent="0.25">
      <c r="B74" s="90" t="s">
        <v>55</v>
      </c>
      <c r="C74" s="536">
        <v>1.4999999999999999E-2</v>
      </c>
      <c r="D74" s="537">
        <v>850</v>
      </c>
      <c r="E74" s="538">
        <v>0.23</v>
      </c>
      <c r="F74" s="155">
        <f t="shared" si="4"/>
        <v>6.5217391304347824E-2</v>
      </c>
    </row>
    <row r="75" spans="2:6" x14ac:dyDescent="0.25">
      <c r="B75" s="90"/>
      <c r="C75" s="536"/>
      <c r="D75" s="537"/>
      <c r="E75" s="538"/>
      <c r="F75" s="155" t="str">
        <f t="shared" ref="F75:F76" si="5">IFERROR(C75/E75,"")</f>
        <v/>
      </c>
    </row>
    <row r="76" spans="2:6" x14ac:dyDescent="0.25">
      <c r="B76" s="90"/>
      <c r="C76" s="536"/>
      <c r="D76" s="537"/>
      <c r="E76" s="538"/>
      <c r="F76" s="155" t="str">
        <f t="shared" si="5"/>
        <v/>
      </c>
    </row>
    <row r="77" spans="2:6" x14ac:dyDescent="0.25">
      <c r="B77" s="90"/>
      <c r="C77" s="536"/>
      <c r="D77" s="537"/>
      <c r="E77" s="538"/>
      <c r="F77" s="155" t="str">
        <f t="shared" si="4"/>
        <v/>
      </c>
    </row>
    <row r="78" spans="2:6" x14ac:dyDescent="0.25">
      <c r="B78" s="90"/>
      <c r="C78" s="536"/>
      <c r="D78" s="537"/>
      <c r="E78" s="538"/>
      <c r="F78" s="155" t="str">
        <f t="shared" si="4"/>
        <v/>
      </c>
    </row>
    <row r="79" spans="2:6" ht="13.8" thickBot="1" x14ac:dyDescent="0.3">
      <c r="B79" s="91"/>
      <c r="C79" s="539"/>
      <c r="D79" s="540"/>
      <c r="E79" s="541"/>
      <c r="F79" s="156" t="str">
        <f t="shared" si="4"/>
        <v/>
      </c>
    </row>
    <row r="80" spans="2:6" ht="13.8" thickBot="1" x14ac:dyDescent="0.3">
      <c r="B80" s="151" t="s">
        <v>45</v>
      </c>
      <c r="C80" s="152"/>
      <c r="D80" s="152"/>
      <c r="E80" s="153"/>
      <c r="F80" s="542">
        <v>0.05</v>
      </c>
    </row>
    <row r="81" spans="2:6" x14ac:dyDescent="0.25">
      <c r="B81" s="786" t="s">
        <v>46</v>
      </c>
      <c r="C81" s="787"/>
      <c r="D81" s="787"/>
      <c r="E81" s="788"/>
      <c r="F81" s="157">
        <f>SUM(F71:F80)</f>
        <v>3.1053128313891829</v>
      </c>
    </row>
    <row r="82" spans="2:6" ht="13.8" thickBot="1" x14ac:dyDescent="0.3">
      <c r="B82" s="789" t="s">
        <v>60</v>
      </c>
      <c r="C82" s="790"/>
      <c r="D82" s="790"/>
      <c r="E82" s="791"/>
      <c r="F82" s="161">
        <f>1/F81</f>
        <v>0.32202874695643569</v>
      </c>
    </row>
    <row r="83" spans="2:6" ht="13.8" thickBot="1" x14ac:dyDescent="0.3"/>
    <row r="84" spans="2:6" ht="13.8" thickBot="1" x14ac:dyDescent="0.3">
      <c r="B84" s="798" t="s">
        <v>61</v>
      </c>
      <c r="C84" s="798"/>
      <c r="D84" s="798"/>
      <c r="E84" s="798"/>
      <c r="F84" s="798"/>
    </row>
    <row r="85" spans="2:6" s="150" customFormat="1" ht="26.7" customHeight="1" thickBot="1" x14ac:dyDescent="0.3">
      <c r="B85" s="104" t="s">
        <v>62</v>
      </c>
      <c r="C85" s="799" t="s">
        <v>63</v>
      </c>
      <c r="D85" s="799"/>
      <c r="E85" s="799" t="s">
        <v>64</v>
      </c>
      <c r="F85" s="799"/>
    </row>
    <row r="86" spans="2:6" x14ac:dyDescent="0.25">
      <c r="B86" s="102" t="s">
        <v>65</v>
      </c>
      <c r="C86" s="802">
        <v>0.2</v>
      </c>
      <c r="D86" s="802"/>
      <c r="E86" s="800">
        <f>F67*C86</f>
        <v>0.1422268732682451</v>
      </c>
      <c r="F86" s="800"/>
    </row>
    <row r="87" spans="2:6" ht="13.8" thickBot="1" x14ac:dyDescent="0.3">
      <c r="B87" s="101" t="s">
        <v>66</v>
      </c>
      <c r="C87" s="794">
        <v>0.8</v>
      </c>
      <c r="D87" s="794"/>
      <c r="E87" s="801">
        <f>F82*C87</f>
        <v>0.25762299756514856</v>
      </c>
      <c r="F87" s="801"/>
    </row>
    <row r="88" spans="2:6" ht="13.8" thickBot="1" x14ac:dyDescent="0.3">
      <c r="B88" s="797" t="s">
        <v>67</v>
      </c>
      <c r="C88" s="797"/>
      <c r="D88" s="797"/>
      <c r="E88" s="795">
        <f>SUM(E86:F87)</f>
        <v>0.39984987083339363</v>
      </c>
      <c r="F88" s="796"/>
    </row>
  </sheetData>
  <sheetProtection algorithmName="SHA-512" hashValue="Dxvjy6SUr3gkHMD5cL4gaJmOreZjgoFbUcIJ4fXNwG9q67+KcSjPjqvGOR/w0Ta9YSRAhcnc6VsdKKdCQSYEkw==" saltValue="ulkZNVuIanoDNGOp4YwXUA==" spinCount="100000" sheet="1" objects="1" scenarios="1"/>
  <mergeCells count="32">
    <mergeCell ref="O26:O32"/>
    <mergeCell ref="P26:R26"/>
    <mergeCell ref="S26:U26"/>
    <mergeCell ref="C87:D87"/>
    <mergeCell ref="E88:F88"/>
    <mergeCell ref="B88:D88"/>
    <mergeCell ref="B84:F84"/>
    <mergeCell ref="E85:F85"/>
    <mergeCell ref="E86:F86"/>
    <mergeCell ref="C85:D85"/>
    <mergeCell ref="E87:F87"/>
    <mergeCell ref="C86:D86"/>
    <mergeCell ref="B82:E82"/>
    <mergeCell ref="B43:E43"/>
    <mergeCell ref="B44:E44"/>
    <mergeCell ref="B54:F54"/>
    <mergeCell ref="B69:F69"/>
    <mergeCell ref="B66:E66"/>
    <mergeCell ref="B67:E67"/>
    <mergeCell ref="B81:E81"/>
    <mergeCell ref="H28:L28"/>
    <mergeCell ref="B50:F50"/>
    <mergeCell ref="H50:L50"/>
    <mergeCell ref="B51:F51"/>
    <mergeCell ref="B52:F52"/>
    <mergeCell ref="H32:L34"/>
    <mergeCell ref="H54:L56"/>
    <mergeCell ref="B27:F27"/>
    <mergeCell ref="B28:F28"/>
    <mergeCell ref="B29:F29"/>
    <mergeCell ref="B30:F30"/>
    <mergeCell ref="B49:F49"/>
  </mergeCells>
  <phoneticPr fontId="17" type="noConversion"/>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O38"/>
  <sheetViews>
    <sheetView showGridLines="0" zoomScale="80" zoomScaleNormal="80" zoomScalePageLayoutView="70" workbookViewId="0">
      <selection activeCell="E29" sqref="E29:I29"/>
    </sheetView>
  </sheetViews>
  <sheetFormatPr defaultColWidth="8.6640625" defaultRowHeight="13.2" x14ac:dyDescent="0.25"/>
  <cols>
    <col min="1" max="1" width="5.33203125" customWidth="1"/>
    <col min="2" max="2" width="23.6640625" customWidth="1"/>
    <col min="3" max="3" width="15.6640625" customWidth="1"/>
    <col min="4" max="4" width="18.33203125" customWidth="1"/>
    <col min="5" max="5" width="16.44140625" customWidth="1"/>
    <col min="6" max="6" width="11.6640625" customWidth="1"/>
    <col min="10" max="10" width="2.6640625" customWidth="1"/>
  </cols>
  <sheetData>
    <row r="1" spans="1:9" s="128" customFormat="1" ht="26.7" customHeight="1" x14ac:dyDescent="0.25">
      <c r="A1" s="126" t="s">
        <v>68</v>
      </c>
      <c r="B1" s="127" t="s">
        <v>69</v>
      </c>
      <c r="C1" s="127"/>
      <c r="D1" s="127"/>
      <c r="E1" s="127" t="s">
        <v>70</v>
      </c>
      <c r="H1" s="127" t="s">
        <v>71</v>
      </c>
    </row>
    <row r="2" spans="1:9" s="118" customFormat="1" ht="13.8" x14ac:dyDescent="0.25">
      <c r="A2" s="116"/>
      <c r="B2" s="117"/>
      <c r="C2" s="117"/>
      <c r="D2" s="117"/>
      <c r="E2" s="117"/>
    </row>
    <row r="3" spans="1:9" s="29" customFormat="1" x14ac:dyDescent="0.25">
      <c r="B3" s="29" t="s">
        <v>72</v>
      </c>
    </row>
    <row r="4" spans="1:9" s="4" customFormat="1" ht="9.4499999999999993" customHeight="1" thickBot="1" x14ac:dyDescent="0.3"/>
    <row r="5" spans="1:9" ht="39.450000000000003" customHeight="1" thickBot="1" x14ac:dyDescent="0.3">
      <c r="B5" s="51" t="s">
        <v>12</v>
      </c>
      <c r="C5" s="62" t="s">
        <v>13</v>
      </c>
      <c r="D5" s="62" t="s">
        <v>73</v>
      </c>
      <c r="E5" s="63" t="s">
        <v>74</v>
      </c>
    </row>
    <row r="6" spans="1:9" ht="12.45" customHeight="1" x14ac:dyDescent="0.25">
      <c r="B6" s="5" t="s">
        <v>14</v>
      </c>
      <c r="C6" s="12">
        <f>'A2'!C5</f>
        <v>0.32</v>
      </c>
      <c r="D6" s="12">
        <v>0.1</v>
      </c>
      <c r="E6" s="17">
        <f>C6+(C6*D6)</f>
        <v>0.35199999999999998</v>
      </c>
      <c r="F6" s="811" t="s">
        <v>75</v>
      </c>
      <c r="G6" s="780"/>
      <c r="H6" s="780"/>
      <c r="I6" s="780"/>
    </row>
    <row r="7" spans="1:9" x14ac:dyDescent="0.25">
      <c r="B7" s="7" t="s">
        <v>15</v>
      </c>
      <c r="C7" s="1">
        <f>'A2'!C6</f>
        <v>0.27</v>
      </c>
      <c r="D7" s="1">
        <v>0.1</v>
      </c>
      <c r="E7" s="18">
        <f t="shared" ref="E7:E21" si="0">C7+(C7*D7)</f>
        <v>0.29700000000000004</v>
      </c>
      <c r="F7" s="811"/>
      <c r="G7" s="780"/>
      <c r="H7" s="780"/>
      <c r="I7" s="780"/>
    </row>
    <row r="8" spans="1:9" ht="12.45" customHeight="1" x14ac:dyDescent="0.25">
      <c r="B8" s="7" t="s">
        <v>16</v>
      </c>
      <c r="C8" s="1">
        <f>'A2'!C7</f>
        <v>0.27</v>
      </c>
      <c r="D8" s="1">
        <v>0.1</v>
      </c>
      <c r="E8" s="18">
        <f t="shared" si="0"/>
        <v>0.29700000000000004</v>
      </c>
      <c r="F8" s="811"/>
      <c r="G8" s="780"/>
      <c r="H8" s="780"/>
      <c r="I8" s="780"/>
    </row>
    <row r="9" spans="1:9" x14ac:dyDescent="0.25">
      <c r="B9" s="7" t="s">
        <v>17</v>
      </c>
      <c r="C9" s="1">
        <f>'A2'!C8</f>
        <v>0</v>
      </c>
      <c r="D9" s="1">
        <v>0.1</v>
      </c>
      <c r="E9" s="18">
        <f t="shared" si="0"/>
        <v>0</v>
      </c>
      <c r="F9" s="811"/>
      <c r="G9" s="780"/>
      <c r="H9" s="780"/>
      <c r="I9" s="780"/>
    </row>
    <row r="10" spans="1:9" ht="13.8" thickBot="1" x14ac:dyDescent="0.3">
      <c r="B10" s="8" t="s">
        <v>18</v>
      </c>
      <c r="C10" s="13">
        <f>'A2'!C9</f>
        <v>0</v>
      </c>
      <c r="D10" s="13">
        <v>0.1</v>
      </c>
      <c r="E10" s="19">
        <f t="shared" si="0"/>
        <v>0</v>
      </c>
      <c r="F10" s="811"/>
      <c r="G10" s="780"/>
      <c r="H10" s="780"/>
      <c r="I10" s="780"/>
    </row>
    <row r="11" spans="1:9" x14ac:dyDescent="0.25">
      <c r="B11" s="5" t="s">
        <v>19</v>
      </c>
      <c r="C11" s="12">
        <f>'A2'!C10</f>
        <v>0.2</v>
      </c>
      <c r="D11" s="12">
        <v>0.1</v>
      </c>
      <c r="E11" s="17">
        <f t="shared" si="0"/>
        <v>0.22000000000000003</v>
      </c>
      <c r="F11" s="811"/>
      <c r="G11" s="780"/>
      <c r="H11" s="780"/>
      <c r="I11" s="780"/>
    </row>
    <row r="12" spans="1:9" x14ac:dyDescent="0.25">
      <c r="B12" s="7" t="s">
        <v>20</v>
      </c>
      <c r="C12" s="1">
        <f>'A2'!C11</f>
        <v>0</v>
      </c>
      <c r="D12" s="1">
        <v>0.1</v>
      </c>
      <c r="E12" s="18">
        <f>C12+(C12*D12)</f>
        <v>0</v>
      </c>
      <c r="F12" s="811"/>
      <c r="G12" s="780"/>
      <c r="H12" s="780"/>
      <c r="I12" s="780"/>
    </row>
    <row r="13" spans="1:9" ht="13.8" thickBot="1" x14ac:dyDescent="0.3">
      <c r="B13" s="8" t="s">
        <v>21</v>
      </c>
      <c r="C13" s="13">
        <f>'A2'!C12</f>
        <v>0</v>
      </c>
      <c r="D13" s="13">
        <v>0.1</v>
      </c>
      <c r="E13" s="19">
        <f t="shared" si="0"/>
        <v>0</v>
      </c>
      <c r="F13" s="811"/>
      <c r="G13" s="780"/>
      <c r="H13" s="780"/>
      <c r="I13" s="780"/>
    </row>
    <row r="14" spans="1:9" x14ac:dyDescent="0.25">
      <c r="B14" s="5" t="s">
        <v>22</v>
      </c>
      <c r="C14" s="12">
        <f>'A2'!C13</f>
        <v>0.33</v>
      </c>
      <c r="D14" s="12">
        <v>0.1</v>
      </c>
      <c r="E14" s="17">
        <f t="shared" si="0"/>
        <v>0.36299999999999999</v>
      </c>
      <c r="F14" s="811"/>
      <c r="G14" s="780"/>
      <c r="H14" s="780"/>
      <c r="I14" s="780"/>
    </row>
    <row r="15" spans="1:9" x14ac:dyDescent="0.25">
      <c r="B15" s="7" t="s">
        <v>23</v>
      </c>
      <c r="C15" s="1">
        <f>'A2'!C14</f>
        <v>0.4</v>
      </c>
      <c r="D15" s="1">
        <v>0.1</v>
      </c>
      <c r="E15" s="18">
        <f t="shared" si="0"/>
        <v>0.44000000000000006</v>
      </c>
      <c r="F15" s="811"/>
      <c r="G15" s="780"/>
      <c r="H15" s="780"/>
      <c r="I15" s="780"/>
    </row>
    <row r="16" spans="1:9" ht="13.8" thickBot="1" x14ac:dyDescent="0.3">
      <c r="B16" s="8" t="s">
        <v>24</v>
      </c>
      <c r="C16" s="13">
        <f>'A2'!C15</f>
        <v>0</v>
      </c>
      <c r="D16" s="13">
        <v>0.1</v>
      </c>
      <c r="E16" s="19">
        <f t="shared" si="0"/>
        <v>0</v>
      </c>
      <c r="F16" s="811"/>
      <c r="G16" s="780"/>
      <c r="H16" s="780"/>
      <c r="I16" s="780"/>
    </row>
    <row r="17" spans="2:15" x14ac:dyDescent="0.25">
      <c r="B17" s="5" t="s">
        <v>25</v>
      </c>
      <c r="C17" s="12">
        <f>'A2'!C16</f>
        <v>1.6</v>
      </c>
      <c r="D17" s="12">
        <v>0.1</v>
      </c>
      <c r="E17" s="17">
        <f t="shared" si="0"/>
        <v>1.7600000000000002</v>
      </c>
      <c r="F17" s="811"/>
      <c r="G17" s="780"/>
      <c r="H17" s="780"/>
      <c r="I17" s="780"/>
    </row>
    <row r="18" spans="2:15" x14ac:dyDescent="0.25">
      <c r="B18" s="7" t="s">
        <v>26</v>
      </c>
      <c r="C18" s="1">
        <f>'A2'!C17</f>
        <v>0</v>
      </c>
      <c r="D18" s="1">
        <v>0.1</v>
      </c>
      <c r="E18" s="18">
        <f t="shared" si="0"/>
        <v>0</v>
      </c>
      <c r="F18" s="811"/>
      <c r="G18" s="780"/>
      <c r="H18" s="780"/>
      <c r="I18" s="780"/>
    </row>
    <row r="19" spans="2:15" ht="13.8" thickBot="1" x14ac:dyDescent="0.3">
      <c r="B19" s="8" t="s">
        <v>27</v>
      </c>
      <c r="C19" s="13">
        <f>'A2'!C18</f>
        <v>0</v>
      </c>
      <c r="D19" s="13">
        <v>0.1</v>
      </c>
      <c r="E19" s="19">
        <f t="shared" si="0"/>
        <v>0</v>
      </c>
      <c r="F19" s="811"/>
      <c r="G19" s="780"/>
      <c r="H19" s="780"/>
      <c r="I19" s="780"/>
    </row>
    <row r="20" spans="2:15" x14ac:dyDescent="0.25">
      <c r="B20" s="5" t="s">
        <v>28</v>
      </c>
      <c r="C20" s="12">
        <f>'A2'!C19</f>
        <v>1.9</v>
      </c>
      <c r="D20" s="12">
        <v>0.1</v>
      </c>
      <c r="E20" s="17">
        <f t="shared" si="0"/>
        <v>2.09</v>
      </c>
      <c r="F20" s="811"/>
      <c r="G20" s="780"/>
      <c r="H20" s="780"/>
      <c r="I20" s="780"/>
    </row>
    <row r="21" spans="2:15" ht="13.8" thickBot="1" x14ac:dyDescent="0.3">
      <c r="B21" s="8" t="s">
        <v>29</v>
      </c>
      <c r="C21" s="13">
        <f>'A2'!C20</f>
        <v>0</v>
      </c>
      <c r="D21" s="13">
        <v>0.1</v>
      </c>
      <c r="E21" s="19">
        <f t="shared" si="0"/>
        <v>0</v>
      </c>
      <c r="F21" s="811"/>
      <c r="G21" s="780"/>
      <c r="H21" s="780"/>
      <c r="I21" s="780"/>
    </row>
    <row r="23" spans="2:15" s="27" customFormat="1" x14ac:dyDescent="0.25">
      <c r="B23" s="29" t="s">
        <v>76</v>
      </c>
    </row>
    <row r="24" spans="2:15" ht="9.4499999999999993" customHeight="1" thickBot="1" x14ac:dyDescent="0.3"/>
    <row r="25" spans="2:15" ht="12.45" customHeight="1" x14ac:dyDescent="0.25">
      <c r="B25" s="105" t="s">
        <v>77</v>
      </c>
      <c r="C25" s="115">
        <v>1.01</v>
      </c>
      <c r="D25" s="106" t="s">
        <v>78</v>
      </c>
      <c r="E25" s="814" t="s">
        <v>79</v>
      </c>
      <c r="F25" s="814"/>
      <c r="G25" s="814"/>
      <c r="H25" s="814"/>
      <c r="I25" s="814"/>
      <c r="K25" s="780" t="s">
        <v>80</v>
      </c>
      <c r="L25" s="780"/>
      <c r="M25" s="780"/>
      <c r="N25" s="780"/>
      <c r="O25" s="780"/>
    </row>
    <row r="26" spans="2:15" x14ac:dyDescent="0.25">
      <c r="B26" s="107" t="s">
        <v>81</v>
      </c>
      <c r="C26" s="87">
        <v>10</v>
      </c>
      <c r="D26" s="108" t="s">
        <v>82</v>
      </c>
      <c r="K26" s="780"/>
      <c r="L26" s="780"/>
      <c r="M26" s="780"/>
      <c r="N26" s="780"/>
      <c r="O26" s="780"/>
    </row>
    <row r="27" spans="2:15" ht="13.8" thickBot="1" x14ac:dyDescent="0.3">
      <c r="B27" s="109" t="s">
        <v>83</v>
      </c>
      <c r="C27" s="110">
        <f>C26*C25</f>
        <v>10.1</v>
      </c>
      <c r="D27" s="111" t="s">
        <v>84</v>
      </c>
      <c r="K27" s="780"/>
      <c r="L27" s="780"/>
      <c r="M27" s="780"/>
      <c r="N27" s="780"/>
      <c r="O27" s="780"/>
    </row>
    <row r="28" spans="2:15" ht="13.8" thickBot="1" x14ac:dyDescent="0.3">
      <c r="K28" s="780"/>
      <c r="L28" s="780"/>
      <c r="M28" s="780"/>
      <c r="N28" s="780"/>
      <c r="O28" s="780"/>
    </row>
    <row r="29" spans="2:15" x14ac:dyDescent="0.25">
      <c r="B29" s="164" t="s">
        <v>85</v>
      </c>
      <c r="C29" s="806" t="s">
        <v>86</v>
      </c>
      <c r="D29" s="807"/>
      <c r="E29" s="808" t="s">
        <v>87</v>
      </c>
      <c r="F29" s="809"/>
      <c r="G29" s="809"/>
      <c r="H29" s="809"/>
      <c r="I29" s="809"/>
      <c r="K29" s="780"/>
      <c r="L29" s="780"/>
      <c r="M29" s="780"/>
      <c r="N29" s="780"/>
      <c r="O29" s="780"/>
    </row>
    <row r="30" spans="2:15" ht="28.2" customHeight="1" x14ac:dyDescent="0.25">
      <c r="B30" s="112" t="s">
        <v>88</v>
      </c>
      <c r="C30" s="86">
        <v>60</v>
      </c>
      <c r="D30" s="165" t="s">
        <v>89</v>
      </c>
      <c r="E30" s="808" t="s">
        <v>90</v>
      </c>
      <c r="F30" s="809"/>
      <c r="G30" s="809"/>
      <c r="H30" s="809"/>
      <c r="I30" s="809"/>
      <c r="K30" s="780"/>
      <c r="L30" s="780"/>
      <c r="M30" s="780"/>
      <c r="N30" s="780"/>
      <c r="O30" s="780"/>
    </row>
    <row r="31" spans="2:15" ht="28.2" customHeight="1" x14ac:dyDescent="0.25">
      <c r="B31" s="112" t="s">
        <v>91</v>
      </c>
      <c r="C31" s="89">
        <v>0.5</v>
      </c>
      <c r="D31" s="168" t="s">
        <v>92</v>
      </c>
      <c r="E31" s="812" t="s">
        <v>93</v>
      </c>
      <c r="F31" s="813"/>
      <c r="G31" s="813"/>
      <c r="H31" s="813"/>
      <c r="I31" s="813"/>
      <c r="K31" s="780"/>
      <c r="L31" s="780"/>
      <c r="M31" s="780"/>
      <c r="N31" s="780"/>
      <c r="O31" s="780"/>
    </row>
    <row r="32" spans="2:15" ht="40.200000000000003" thickBot="1" x14ac:dyDescent="0.3">
      <c r="B32" s="113" t="s">
        <v>94</v>
      </c>
      <c r="C32" s="522">
        <f>IFERROR(C31-(C27/C30),"0")</f>
        <v>0.33166666666666667</v>
      </c>
      <c r="D32" s="114" t="s">
        <v>95</v>
      </c>
      <c r="E32" s="810" t="s">
        <v>96</v>
      </c>
      <c r="F32" s="782"/>
      <c r="G32" s="782"/>
      <c r="H32" s="782"/>
      <c r="I32" s="782"/>
      <c r="K32" s="780"/>
      <c r="L32" s="780"/>
      <c r="M32" s="780"/>
      <c r="N32" s="780"/>
      <c r="O32" s="780"/>
    </row>
    <row r="33" spans="2:9" ht="13.8" thickBot="1" x14ac:dyDescent="0.3"/>
    <row r="34" spans="2:9" ht="40.200000000000003" thickBot="1" x14ac:dyDescent="0.3">
      <c r="B34" s="166" t="s">
        <v>97</v>
      </c>
      <c r="C34" s="500">
        <v>0.3</v>
      </c>
      <c r="D34" s="167" t="s">
        <v>95</v>
      </c>
      <c r="E34" s="810" t="s">
        <v>98</v>
      </c>
      <c r="F34" s="782"/>
      <c r="G34" s="782"/>
      <c r="H34" s="782"/>
      <c r="I34" s="782"/>
    </row>
    <row r="38" spans="2:9" x14ac:dyDescent="0.25">
      <c r="F38" s="163"/>
    </row>
  </sheetData>
  <sheetProtection algorithmName="SHA-512" hashValue="1/UmOeyHKt2j1pveZSfPau9u2O+GFkkIsS1eUMzVX13SGo+wIaI9Ya+hIG1T24fSh3rn/XRYHwyg/eKZihdc/w==" saltValue="KCHKwVWGznC8WJTaQCWokg==" spinCount="100000" sheet="1" objects="1" scenarios="1"/>
  <mergeCells count="9">
    <mergeCell ref="K25:O32"/>
    <mergeCell ref="C29:D29"/>
    <mergeCell ref="E29:I29"/>
    <mergeCell ref="E34:I34"/>
    <mergeCell ref="F6:I21"/>
    <mergeCell ref="E30:I30"/>
    <mergeCell ref="E31:I31"/>
    <mergeCell ref="E25:I25"/>
    <mergeCell ref="E32:I32"/>
  </mergeCells>
  <phoneticPr fontId="17" type="noConversion"/>
  <conditionalFormatting sqref="C34">
    <cfRule type="cellIs" dxfId="206" priority="1" operator="equal">
      <formula>$C$32</formula>
    </cfRule>
    <cfRule type="cellIs" dxfId="205" priority="2" operator="greaterThan">
      <formula>$C$32</formula>
    </cfRule>
    <cfRule type="cellIs" dxfId="204" priority="3" operator="lessThan">
      <formula>$C$32</formula>
    </cfRule>
  </conditionalFormatting>
  <pageMargins left="0.7" right="0.7" top="0.98624999999999996" bottom="0.75" header="0.3" footer="0.3"/>
  <pageSetup paperSize="9" scale="74"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AC293"/>
  <sheetViews>
    <sheetView showGridLines="0" topLeftCell="A38" zoomScale="85" zoomScaleNormal="85" zoomScalePageLayoutView="80" workbookViewId="0">
      <selection activeCell="G62" sqref="G62"/>
    </sheetView>
  </sheetViews>
  <sheetFormatPr defaultColWidth="11.5546875" defaultRowHeight="13.2" x14ac:dyDescent="0.25"/>
  <cols>
    <col min="1" max="1" width="11.5546875" style="355"/>
    <col min="2" max="2" width="21.44140625" style="355" customWidth="1"/>
    <col min="3" max="3" width="17.33203125" style="355" customWidth="1"/>
    <col min="4" max="4" width="22.6640625" style="355" customWidth="1"/>
    <col min="5" max="5" width="21.33203125" style="355" customWidth="1"/>
    <col min="6" max="6" width="20.6640625" style="357" customWidth="1"/>
    <col min="7" max="7" width="16.5546875" style="355" customWidth="1"/>
    <col min="8" max="8" width="20.109375" style="357" customWidth="1"/>
    <col min="9" max="9" width="11.5546875" style="355"/>
    <col min="10" max="10" width="43.88671875" style="357" customWidth="1"/>
    <col min="11" max="11" width="32.88671875" style="357" customWidth="1"/>
    <col min="12" max="16384" width="11.5546875" style="355"/>
  </cols>
  <sheetData>
    <row r="1" spans="1:19" s="366" customFormat="1" ht="24" customHeight="1" x14ac:dyDescent="0.25">
      <c r="A1" s="367" t="s">
        <v>99</v>
      </c>
      <c r="B1" s="368" t="s">
        <v>100</v>
      </c>
      <c r="D1" s="368"/>
      <c r="E1" s="127" t="s">
        <v>101</v>
      </c>
      <c r="F1" s="369"/>
      <c r="G1" s="127" t="s">
        <v>102</v>
      </c>
      <c r="H1" s="369"/>
      <c r="J1" s="369"/>
      <c r="K1" s="369"/>
    </row>
    <row r="2" spans="1:19" s="362" customFormat="1" ht="18" customHeight="1" x14ac:dyDescent="0.25">
      <c r="B2" s="370"/>
      <c r="C2" s="371"/>
      <c r="D2" s="371"/>
      <c r="E2" s="371"/>
      <c r="F2" s="372"/>
      <c r="H2" s="372"/>
      <c r="J2" s="372"/>
      <c r="K2" s="372"/>
    </row>
    <row r="3" spans="1:19" s="691" customFormat="1" ht="18" x14ac:dyDescent="0.35">
      <c r="B3" s="692" t="s">
        <v>103</v>
      </c>
      <c r="C3" s="693"/>
      <c r="D3" s="693"/>
      <c r="F3" s="694"/>
      <c r="H3" s="694"/>
      <c r="I3" s="366"/>
      <c r="J3" s="694"/>
      <c r="K3" s="694"/>
    </row>
    <row r="4" spans="1:19" ht="14.4" thickBot="1" x14ac:dyDescent="0.3">
      <c r="I4" s="362"/>
      <c r="L4" s="365"/>
      <c r="N4" s="365"/>
      <c r="O4" s="365"/>
      <c r="P4" s="365"/>
      <c r="Q4" s="365"/>
      <c r="R4" s="365"/>
      <c r="S4" s="365"/>
    </row>
    <row r="5" spans="1:19" s="170" customFormat="1" ht="14.7" customHeight="1" x14ac:dyDescent="0.25">
      <c r="B5" s="819" t="s">
        <v>104</v>
      </c>
      <c r="C5" s="820"/>
      <c r="D5" s="820"/>
      <c r="E5" s="735" t="s">
        <v>105</v>
      </c>
      <c r="F5" s="821" t="s">
        <v>106</v>
      </c>
      <c r="G5" s="821"/>
      <c r="H5" s="736"/>
      <c r="I5" s="720"/>
      <c r="J5" s="823" t="s">
        <v>107</v>
      </c>
      <c r="K5" s="823"/>
      <c r="L5" s="348"/>
      <c r="M5" s="826" t="s">
        <v>108</v>
      </c>
      <c r="N5" s="826"/>
      <c r="O5" s="826"/>
      <c r="P5" s="826"/>
      <c r="Q5" s="826"/>
      <c r="R5" s="826"/>
      <c r="S5" s="826"/>
    </row>
    <row r="6" spans="1:19" s="170" customFormat="1" ht="61.2" customHeight="1" thickBot="1" x14ac:dyDescent="0.3">
      <c r="B6" s="737" t="s">
        <v>109</v>
      </c>
      <c r="C6" s="738" t="s">
        <v>110</v>
      </c>
      <c r="D6" s="738" t="s">
        <v>111</v>
      </c>
      <c r="E6" s="738" t="s">
        <v>112</v>
      </c>
      <c r="F6" s="738" t="s">
        <v>113</v>
      </c>
      <c r="G6" s="738" t="s">
        <v>114</v>
      </c>
      <c r="H6" s="739" t="s">
        <v>115</v>
      </c>
      <c r="I6" s="720"/>
      <c r="J6" s="823"/>
      <c r="K6" s="823"/>
      <c r="L6" s="348"/>
      <c r="M6" s="822" t="s">
        <v>116</v>
      </c>
      <c r="N6" s="822"/>
      <c r="O6" s="822"/>
      <c r="P6" s="822"/>
      <c r="Q6" s="822"/>
      <c r="R6" s="822"/>
      <c r="S6" s="822"/>
    </row>
    <row r="7" spans="1:19" s="170" customFormat="1" x14ac:dyDescent="0.25">
      <c r="A7" s="349">
        <v>1</v>
      </c>
      <c r="B7" s="740" t="s">
        <v>117</v>
      </c>
      <c r="C7" s="741">
        <v>10.8</v>
      </c>
      <c r="D7" s="741">
        <v>27.6</v>
      </c>
      <c r="E7" s="741">
        <v>4.8</v>
      </c>
      <c r="F7" s="741"/>
      <c r="G7" s="741">
        <v>1.6</v>
      </c>
      <c r="H7" s="1184">
        <f>Tabla611[[#This Row],[m2
Puertas exteriores]]+Tabla611[[#This Row],[m2
Ventanas]]</f>
        <v>4.8</v>
      </c>
      <c r="I7" s="720"/>
      <c r="J7" s="824"/>
      <c r="K7" s="824"/>
      <c r="L7" s="348"/>
      <c r="M7" s="822"/>
      <c r="N7" s="822"/>
      <c r="O7" s="822"/>
      <c r="P7" s="822"/>
      <c r="Q7" s="822"/>
      <c r="R7" s="822"/>
      <c r="S7" s="822"/>
    </row>
    <row r="8" spans="1:19" s="170" customFormat="1" x14ac:dyDescent="0.25">
      <c r="A8" s="349">
        <v>2</v>
      </c>
      <c r="B8" s="742" t="s">
        <v>118</v>
      </c>
      <c r="C8" s="743">
        <f>(4+3)*2.3</f>
        <v>16.099999999999998</v>
      </c>
      <c r="D8" s="743">
        <f>(4+3)*2.3</f>
        <v>16.099999999999998</v>
      </c>
      <c r="E8" s="743">
        <v>2.4</v>
      </c>
      <c r="F8" s="743"/>
      <c r="G8" s="743">
        <f>0.8*2</f>
        <v>1.6</v>
      </c>
      <c r="H8" s="1185">
        <f>Tabla611[[#This Row],[m2
Puertas exteriores]]+Tabla611[[#This Row],[m2
Ventanas]]</f>
        <v>2.4</v>
      </c>
      <c r="I8" s="720"/>
      <c r="J8" s="695" t="s">
        <v>119</v>
      </c>
      <c r="K8" s="695" t="s">
        <v>120</v>
      </c>
      <c r="M8" s="822"/>
      <c r="N8" s="822"/>
      <c r="O8" s="822"/>
      <c r="P8" s="822"/>
      <c r="Q8" s="822"/>
      <c r="R8" s="822"/>
      <c r="S8" s="822"/>
    </row>
    <row r="9" spans="1:19" s="170" customFormat="1" ht="26.4" x14ac:dyDescent="0.25">
      <c r="A9" s="349">
        <v>3</v>
      </c>
      <c r="B9" s="742" t="s">
        <v>121</v>
      </c>
      <c r="C9" s="743">
        <f>(3+4)*2.3</f>
        <v>16.099999999999998</v>
      </c>
      <c r="D9" s="744">
        <f>4*2.3</f>
        <v>9.1999999999999993</v>
      </c>
      <c r="E9" s="743">
        <v>1.2</v>
      </c>
      <c r="F9" s="743"/>
      <c r="G9" s="743">
        <f>0.8*2</f>
        <v>1.6</v>
      </c>
      <c r="H9" s="1185">
        <f>Tabla611[[#This Row],[m2
Puertas exteriores]]+Tabla611[[#This Row],[m2
Ventanas]]</f>
        <v>1.2</v>
      </c>
      <c r="I9" s="720"/>
      <c r="J9" s="747" t="s">
        <v>122</v>
      </c>
      <c r="K9" s="89">
        <v>46</v>
      </c>
      <c r="M9" s="822"/>
      <c r="N9" s="822"/>
      <c r="O9" s="822"/>
      <c r="P9" s="822"/>
      <c r="Q9" s="822"/>
      <c r="R9" s="822"/>
      <c r="S9" s="822"/>
    </row>
    <row r="10" spans="1:19" s="170" customFormat="1" x14ac:dyDescent="0.25">
      <c r="A10" s="349">
        <v>4</v>
      </c>
      <c r="B10" s="742" t="s">
        <v>123</v>
      </c>
      <c r="C10" s="743">
        <f>(6.25+6.25)*2.3</f>
        <v>28.749999999999996</v>
      </c>
      <c r="D10" s="743">
        <f>4*2.3</f>
        <v>9.1999999999999993</v>
      </c>
      <c r="E10" s="743">
        <v>5</v>
      </c>
      <c r="F10" s="743"/>
      <c r="G10" s="743"/>
      <c r="H10" s="1185">
        <f>Tabla611[[#This Row],[m2
Puertas exteriores]]+Tabla611[[#This Row],[m2
Ventanas]]</f>
        <v>5</v>
      </c>
      <c r="I10" s="720"/>
      <c r="J10" s="747"/>
      <c r="K10" s="89">
        <v>100</v>
      </c>
      <c r="M10" s="822"/>
      <c r="N10" s="822"/>
      <c r="O10" s="822"/>
      <c r="P10" s="822"/>
      <c r="Q10" s="822"/>
      <c r="R10" s="822"/>
      <c r="S10" s="822"/>
    </row>
    <row r="11" spans="1:19" s="170" customFormat="1" x14ac:dyDescent="0.25">
      <c r="A11" s="349">
        <v>5</v>
      </c>
      <c r="B11" s="742" t="s">
        <v>124</v>
      </c>
      <c r="C11" s="743">
        <f>(5+4)*2.3</f>
        <v>20.7</v>
      </c>
      <c r="D11" s="743">
        <f>4*2.3</f>
        <v>9.1999999999999993</v>
      </c>
      <c r="E11" s="743">
        <v>4.5999999999999996</v>
      </c>
      <c r="F11" s="743"/>
      <c r="G11" s="743"/>
      <c r="H11" s="1185">
        <f>Tabla611[[#This Row],[m2
Puertas exteriores]]+Tabla611[[#This Row],[m2
Ventanas]]</f>
        <v>4.5999999999999996</v>
      </c>
      <c r="I11" s="720"/>
      <c r="J11" s="747"/>
      <c r="K11" s="89"/>
      <c r="M11" s="822"/>
      <c r="N11" s="822"/>
      <c r="O11" s="822"/>
      <c r="P11" s="822"/>
      <c r="Q11" s="822"/>
      <c r="R11" s="822"/>
      <c r="S11" s="822"/>
    </row>
    <row r="12" spans="1:19" s="170" customFormat="1" x14ac:dyDescent="0.25">
      <c r="A12" s="349">
        <v>6</v>
      </c>
      <c r="B12" s="742"/>
      <c r="C12" s="743"/>
      <c r="D12" s="743"/>
      <c r="E12" s="743"/>
      <c r="F12" s="743"/>
      <c r="G12" s="743"/>
      <c r="H12" s="1185">
        <f>Tabla611[[#This Row],[m2
Puertas exteriores]]+Tabla611[[#This Row],[m2
Ventanas]]</f>
        <v>0</v>
      </c>
      <c r="I12" s="720"/>
      <c r="J12" s="747"/>
      <c r="K12" s="89"/>
      <c r="M12" s="822"/>
      <c r="N12" s="822"/>
      <c r="O12" s="822"/>
      <c r="P12" s="822"/>
      <c r="Q12" s="822"/>
      <c r="R12" s="822"/>
      <c r="S12" s="822"/>
    </row>
    <row r="13" spans="1:19" s="170" customFormat="1" x14ac:dyDescent="0.25">
      <c r="A13" s="349">
        <v>7</v>
      </c>
      <c r="B13" s="742"/>
      <c r="C13" s="743"/>
      <c r="D13" s="743"/>
      <c r="E13" s="743"/>
      <c r="F13" s="743"/>
      <c r="G13" s="743"/>
      <c r="H13" s="1185">
        <f>Tabla611[[#This Row],[m2
Puertas exteriores]]+Tabla611[[#This Row],[m2
Ventanas]]</f>
        <v>0</v>
      </c>
      <c r="I13" s="720"/>
      <c r="J13" s="747"/>
      <c r="K13" s="89"/>
      <c r="M13" s="822"/>
      <c r="N13" s="822"/>
      <c r="O13" s="822"/>
      <c r="P13" s="822"/>
      <c r="Q13" s="822"/>
      <c r="R13" s="822"/>
      <c r="S13" s="822"/>
    </row>
    <row r="14" spans="1:19" s="170" customFormat="1" x14ac:dyDescent="0.25">
      <c r="A14" s="349">
        <v>8</v>
      </c>
      <c r="B14" s="742"/>
      <c r="C14" s="743"/>
      <c r="D14" s="743"/>
      <c r="E14" s="743"/>
      <c r="F14" s="743"/>
      <c r="G14" s="743"/>
      <c r="H14" s="1185">
        <f>Tabla611[[#This Row],[m2
Puertas exteriores]]+Tabla611[[#This Row],[m2
Ventanas]]</f>
        <v>0</v>
      </c>
      <c r="I14" s="720"/>
      <c r="J14" s="747"/>
      <c r="K14" s="89"/>
      <c r="M14" s="822"/>
      <c r="N14" s="822"/>
      <c r="O14" s="822"/>
      <c r="P14" s="822"/>
      <c r="Q14" s="822"/>
      <c r="R14" s="822"/>
      <c r="S14" s="822"/>
    </row>
    <row r="15" spans="1:19" s="170" customFormat="1" x14ac:dyDescent="0.25">
      <c r="A15" s="349">
        <v>9</v>
      </c>
      <c r="B15" s="742"/>
      <c r="C15" s="743"/>
      <c r="D15" s="743"/>
      <c r="E15" s="743"/>
      <c r="F15" s="743"/>
      <c r="G15" s="743"/>
      <c r="H15" s="1185">
        <f>Tabla611[[#This Row],[m2
Puertas exteriores]]+Tabla611[[#This Row],[m2
Ventanas]]</f>
        <v>0</v>
      </c>
      <c r="I15" s="720"/>
      <c r="J15" s="747"/>
      <c r="K15" s="89"/>
      <c r="M15" s="822"/>
      <c r="N15" s="822"/>
      <c r="O15" s="822"/>
      <c r="P15" s="822"/>
      <c r="Q15" s="822"/>
      <c r="R15" s="822"/>
      <c r="S15" s="822"/>
    </row>
    <row r="16" spans="1:19" s="170" customFormat="1" ht="13.8" thickBot="1" x14ac:dyDescent="0.3">
      <c r="A16" s="349">
        <v>10</v>
      </c>
      <c r="B16" s="745"/>
      <c r="C16" s="746"/>
      <c r="D16" s="746"/>
      <c r="E16" s="746"/>
      <c r="F16" s="746"/>
      <c r="G16" s="746"/>
      <c r="H16" s="1186">
        <f>Tabla611[[#This Row],[m2
Puertas exteriores]]+Tabla611[[#This Row],[m2
Ventanas]]</f>
        <v>0</v>
      </c>
      <c r="I16" s="720"/>
      <c r="J16" s="747"/>
      <c r="K16" s="89"/>
      <c r="M16" s="822"/>
      <c r="N16" s="822"/>
      <c r="O16" s="822"/>
      <c r="P16" s="822"/>
      <c r="Q16" s="822"/>
      <c r="R16" s="822"/>
      <c r="S16" s="822"/>
    </row>
    <row r="17" spans="2:15" s="170" customFormat="1" x14ac:dyDescent="0.25">
      <c r="F17" s="347"/>
      <c r="H17" s="347"/>
      <c r="I17" s="720"/>
      <c r="J17" s="747"/>
      <c r="K17" s="89"/>
    </row>
    <row r="18" spans="2:15" s="170" customFormat="1" x14ac:dyDescent="0.25">
      <c r="F18" s="347"/>
      <c r="H18" s="347"/>
      <c r="I18" s="720"/>
      <c r="J18" s="747"/>
      <c r="K18" s="89"/>
    </row>
    <row r="19" spans="2:15" s="170" customFormat="1" ht="42.45" customHeight="1" x14ac:dyDescent="0.25">
      <c r="B19" s="825" t="s">
        <v>125</v>
      </c>
      <c r="C19" s="825"/>
      <c r="D19" s="825"/>
      <c r="E19" s="825"/>
      <c r="F19" s="722" t="s">
        <v>126</v>
      </c>
      <c r="G19" s="721" t="s">
        <v>127</v>
      </c>
      <c r="H19" s="722" t="s">
        <v>128</v>
      </c>
      <c r="I19" s="720"/>
      <c r="J19" s="747"/>
      <c r="K19" s="89"/>
    </row>
    <row r="20" spans="2:15" s="170" customFormat="1" x14ac:dyDescent="0.25">
      <c r="B20" s="751">
        <v>1</v>
      </c>
      <c r="C20" s="815" t="str">
        <f>B7</f>
        <v>Dormitorio 1</v>
      </c>
      <c r="D20" s="816"/>
      <c r="E20" s="817"/>
      <c r="F20" s="696">
        <f>IFERROR($G$67,0)</f>
        <v>475.85</v>
      </c>
      <c r="G20" s="696">
        <v>280</v>
      </c>
      <c r="H20" s="696" t="str">
        <f t="shared" ref="H20:H29" si="0">IF(F20&gt;G20,"Cumple","No cumple")</f>
        <v>Cumple</v>
      </c>
      <c r="I20" s="720"/>
      <c r="J20" s="747"/>
      <c r="K20" s="89"/>
    </row>
    <row r="21" spans="2:15" s="170" customFormat="1" x14ac:dyDescent="0.25">
      <c r="B21" s="751">
        <v>2</v>
      </c>
      <c r="C21" s="815" t="str">
        <f>B8</f>
        <v>Dormitorio 2</v>
      </c>
      <c r="D21" s="816"/>
      <c r="E21" s="817"/>
      <c r="F21" s="696">
        <f>IFERROR($G$92,0)</f>
        <v>724.26666666666654</v>
      </c>
      <c r="G21" s="696">
        <v>280</v>
      </c>
      <c r="H21" s="696" t="str">
        <f t="shared" si="0"/>
        <v>Cumple</v>
      </c>
      <c r="I21" s="720"/>
      <c r="J21" s="747"/>
      <c r="K21" s="89"/>
    </row>
    <row r="22" spans="2:15" s="170" customFormat="1" x14ac:dyDescent="0.25">
      <c r="B22" s="751">
        <v>3</v>
      </c>
      <c r="C22" s="815" t="str">
        <f>B9</f>
        <v>Oficina</v>
      </c>
      <c r="D22" s="816"/>
      <c r="E22" s="817"/>
      <c r="F22" s="696">
        <f>IFERROR($G$117,0)</f>
        <v>1114.2833333333333</v>
      </c>
      <c r="G22" s="696">
        <v>280</v>
      </c>
      <c r="H22" s="696" t="str">
        <f t="shared" si="0"/>
        <v>Cumple</v>
      </c>
      <c r="I22" s="720"/>
      <c r="J22" s="747"/>
      <c r="K22" s="89"/>
    </row>
    <row r="23" spans="2:15" s="170" customFormat="1" x14ac:dyDescent="0.25">
      <c r="B23" s="751">
        <v>4</v>
      </c>
      <c r="C23" s="815" t="str">
        <f>B10</f>
        <v>Comedor cocina</v>
      </c>
      <c r="D23" s="816"/>
      <c r="E23" s="817"/>
      <c r="F23" s="696">
        <f>IFERROR($G$142,0)</f>
        <v>555.41399999999999</v>
      </c>
      <c r="G23" s="696">
        <v>280</v>
      </c>
      <c r="H23" s="696" t="str">
        <f t="shared" si="0"/>
        <v>Cumple</v>
      </c>
      <c r="I23" s="720"/>
      <c r="J23" s="747"/>
      <c r="K23" s="89"/>
    </row>
    <row r="24" spans="2:15" s="170" customFormat="1" x14ac:dyDescent="0.25">
      <c r="B24" s="751">
        <v>5</v>
      </c>
      <c r="C24" s="815" t="str">
        <f t="shared" ref="C24:C29" si="1">B11</f>
        <v>Estar</v>
      </c>
      <c r="D24" s="816"/>
      <c r="E24" s="817"/>
      <c r="F24" s="696">
        <f>IFERROR($G$167,0)</f>
        <v>506.63500000000005</v>
      </c>
      <c r="G24" s="696">
        <v>280</v>
      </c>
      <c r="H24" s="696" t="str">
        <f t="shared" si="0"/>
        <v>Cumple</v>
      </c>
      <c r="I24" s="720"/>
      <c r="J24" s="747"/>
      <c r="K24" s="89"/>
    </row>
    <row r="25" spans="2:15" s="170" customFormat="1" x14ac:dyDescent="0.25">
      <c r="B25" s="751">
        <v>6</v>
      </c>
      <c r="C25" s="815">
        <f t="shared" si="1"/>
        <v>0</v>
      </c>
      <c r="D25" s="816"/>
      <c r="E25" s="817"/>
      <c r="F25" s="696">
        <f>IFERROR($G$192,0)</f>
        <v>0</v>
      </c>
      <c r="G25" s="696">
        <v>280</v>
      </c>
      <c r="H25" s="696" t="str">
        <f t="shared" si="0"/>
        <v>No cumple</v>
      </c>
      <c r="I25" s="720"/>
      <c r="J25" s="747"/>
      <c r="K25" s="89"/>
    </row>
    <row r="26" spans="2:15" s="170" customFormat="1" x14ac:dyDescent="0.25">
      <c r="B26" s="751">
        <v>7</v>
      </c>
      <c r="C26" s="815">
        <f t="shared" si="1"/>
        <v>0</v>
      </c>
      <c r="D26" s="816"/>
      <c r="E26" s="817"/>
      <c r="F26" s="696">
        <f>IFERROR($G$217,0)</f>
        <v>0</v>
      </c>
      <c r="G26" s="696">
        <v>280</v>
      </c>
      <c r="H26" s="696" t="str">
        <f t="shared" si="0"/>
        <v>No cumple</v>
      </c>
      <c r="I26" s="720"/>
      <c r="J26" s="747"/>
      <c r="K26" s="89"/>
    </row>
    <row r="27" spans="2:15" s="170" customFormat="1" x14ac:dyDescent="0.25">
      <c r="B27" s="751">
        <v>8</v>
      </c>
      <c r="C27" s="815">
        <f t="shared" si="1"/>
        <v>0</v>
      </c>
      <c r="D27" s="816"/>
      <c r="E27" s="817"/>
      <c r="F27" s="696">
        <f>IFERROR($G$242,0)</f>
        <v>0</v>
      </c>
      <c r="G27" s="696">
        <v>280</v>
      </c>
      <c r="H27" s="696" t="str">
        <f t="shared" si="0"/>
        <v>No cumple</v>
      </c>
      <c r="I27" s="720"/>
      <c r="J27" s="747"/>
      <c r="K27" s="89"/>
    </row>
    <row r="28" spans="2:15" s="170" customFormat="1" x14ac:dyDescent="0.25">
      <c r="B28" s="751">
        <v>9</v>
      </c>
      <c r="C28" s="815">
        <f t="shared" si="1"/>
        <v>0</v>
      </c>
      <c r="D28" s="816"/>
      <c r="E28" s="817"/>
      <c r="F28" s="696">
        <f>IFERROR($G$267,0)</f>
        <v>0</v>
      </c>
      <c r="G28" s="696">
        <v>280</v>
      </c>
      <c r="H28" s="696" t="str">
        <f t="shared" si="0"/>
        <v>No cumple</v>
      </c>
      <c r="I28" s="720"/>
      <c r="J28" s="747"/>
      <c r="K28" s="89"/>
    </row>
    <row r="29" spans="2:15" s="170" customFormat="1" x14ac:dyDescent="0.25">
      <c r="B29" s="751">
        <v>10</v>
      </c>
      <c r="C29" s="815">
        <f t="shared" si="1"/>
        <v>0</v>
      </c>
      <c r="D29" s="816"/>
      <c r="E29" s="817"/>
      <c r="F29" s="696">
        <f>IFERROR($G$292,0)</f>
        <v>0</v>
      </c>
      <c r="G29" s="696">
        <v>280</v>
      </c>
      <c r="H29" s="696" t="str">
        <f t="shared" si="0"/>
        <v>No cumple</v>
      </c>
      <c r="I29" s="720"/>
      <c r="J29" s="748"/>
      <c r="K29" s="749"/>
    </row>
    <row r="30" spans="2:15" x14ac:dyDescent="0.25">
      <c r="C30" s="357"/>
      <c r="D30" s="357"/>
      <c r="I30" s="723"/>
      <c r="J30" s="723"/>
      <c r="K30" s="723"/>
      <c r="L30" s="723"/>
      <c r="M30" s="723"/>
      <c r="N30" s="723"/>
      <c r="O30" s="723"/>
    </row>
    <row r="31" spans="2:15" hidden="1" x14ac:dyDescent="0.25">
      <c r="C31" s="357"/>
      <c r="D31" s="357"/>
      <c r="I31" s="723"/>
      <c r="J31" s="723"/>
      <c r="K31" s="723"/>
      <c r="L31" s="723"/>
      <c r="M31" s="723"/>
      <c r="N31" s="723"/>
      <c r="O31" s="723"/>
    </row>
    <row r="32" spans="2:15" hidden="1" x14ac:dyDescent="0.25">
      <c r="C32" s="357"/>
      <c r="D32" s="357"/>
      <c r="I32" s="723"/>
      <c r="J32" s="723"/>
      <c r="K32" s="723"/>
      <c r="L32" s="723"/>
      <c r="M32" s="723"/>
      <c r="N32" s="723"/>
      <c r="O32" s="723"/>
    </row>
    <row r="33" spans="2:23" hidden="1" x14ac:dyDescent="0.25">
      <c r="C33" s="357"/>
      <c r="D33" s="357"/>
      <c r="I33" s="723"/>
      <c r="J33" s="723"/>
      <c r="K33" s="723"/>
      <c r="L33" s="723"/>
      <c r="M33" s="723"/>
      <c r="N33" s="723"/>
      <c r="O33" s="723"/>
    </row>
    <row r="34" spans="2:23" hidden="1" x14ac:dyDescent="0.25">
      <c r="C34" s="357"/>
      <c r="D34" s="357"/>
      <c r="I34" s="723"/>
      <c r="J34" s="723"/>
      <c r="K34" s="723"/>
      <c r="L34" s="723"/>
      <c r="M34" s="723"/>
      <c r="N34" s="723"/>
      <c r="O34" s="723"/>
    </row>
    <row r="35" spans="2:23" hidden="1" x14ac:dyDescent="0.25">
      <c r="C35" s="357"/>
      <c r="D35" s="357"/>
      <c r="I35" s="723"/>
      <c r="J35" s="723"/>
      <c r="K35" s="723"/>
      <c r="L35" s="723"/>
      <c r="M35" s="723"/>
      <c r="N35" s="723"/>
      <c r="O35" s="723"/>
    </row>
    <row r="36" spans="2:23" hidden="1" x14ac:dyDescent="0.25">
      <c r="C36" s="357"/>
      <c r="D36" s="357"/>
      <c r="I36" s="723"/>
      <c r="J36" s="723"/>
      <c r="K36" s="723"/>
      <c r="L36" s="723"/>
      <c r="M36" s="723"/>
      <c r="N36" s="723"/>
      <c r="O36" s="723"/>
    </row>
    <row r="37" spans="2:23" hidden="1" x14ac:dyDescent="0.25">
      <c r="C37" s="357"/>
      <c r="D37" s="357"/>
      <c r="I37" s="723"/>
      <c r="J37" s="723"/>
      <c r="K37" s="723"/>
      <c r="L37" s="723"/>
      <c r="M37" s="723"/>
      <c r="N37" s="723"/>
      <c r="O37" s="723"/>
    </row>
    <row r="38" spans="2:23" x14ac:dyDescent="0.25">
      <c r="C38" s="357"/>
      <c r="D38" s="357"/>
      <c r="I38" s="723"/>
      <c r="J38" s="723"/>
      <c r="K38" s="723"/>
      <c r="L38" s="723"/>
      <c r="M38" s="723"/>
      <c r="N38" s="723"/>
      <c r="O38" s="723"/>
    </row>
    <row r="39" spans="2:23" s="691" customFormat="1" ht="18" x14ac:dyDescent="0.35">
      <c r="B39" s="692" t="s">
        <v>129</v>
      </c>
      <c r="C39" s="693"/>
      <c r="D39" s="693"/>
      <c r="F39" s="694"/>
      <c r="H39" s="694"/>
      <c r="I39" s="366"/>
      <c r="J39" s="694"/>
      <c r="K39" s="694"/>
    </row>
    <row r="40" spans="2:23" x14ac:dyDescent="0.25">
      <c r="C40" s="724" t="s">
        <v>130</v>
      </c>
      <c r="D40" s="725"/>
      <c r="I40" s="723"/>
      <c r="J40" s="723"/>
      <c r="K40" s="723"/>
      <c r="L40" s="723"/>
      <c r="M40" s="723"/>
      <c r="N40" s="723"/>
      <c r="O40" s="723"/>
    </row>
    <row r="41" spans="2:23" ht="26.4" x14ac:dyDescent="0.25">
      <c r="B41" s="831">
        <v>1</v>
      </c>
      <c r="C41" s="726" t="s">
        <v>131</v>
      </c>
      <c r="D41" s="727" t="s">
        <v>132</v>
      </c>
      <c r="I41" s="723"/>
      <c r="J41" s="723"/>
      <c r="K41" s="723"/>
      <c r="L41" s="723"/>
      <c r="M41" s="723"/>
      <c r="N41" s="723"/>
      <c r="O41" s="723"/>
    </row>
    <row r="42" spans="2:23" ht="13.2" customHeight="1" x14ac:dyDescent="0.25">
      <c r="B42" s="832"/>
      <c r="C42" s="728" t="s">
        <v>117</v>
      </c>
      <c r="D42" s="697">
        <v>16</v>
      </c>
      <c r="I42" s="723"/>
      <c r="J42" s="818" t="s">
        <v>133</v>
      </c>
      <c r="K42" s="818"/>
      <c r="L42" s="753"/>
      <c r="M42" s="752"/>
      <c r="N42" s="752"/>
      <c r="O42" s="752"/>
      <c r="P42" s="752"/>
      <c r="Q42" s="752"/>
      <c r="R42" s="752"/>
      <c r="S42" s="752"/>
    </row>
    <row r="43" spans="2:23" ht="26.4" hidden="1" x14ac:dyDescent="0.25">
      <c r="B43" s="729" t="s">
        <v>134</v>
      </c>
      <c r="C43" s="357"/>
      <c r="D43" s="357"/>
      <c r="I43" s="723"/>
      <c r="W43" s="356" t="s">
        <v>135</v>
      </c>
    </row>
    <row r="44" spans="2:23" hidden="1" x14ac:dyDescent="0.25">
      <c r="B44" s="729" t="s">
        <v>136</v>
      </c>
      <c r="I44" s="723"/>
    </row>
    <row r="45" spans="2:23" hidden="1" x14ac:dyDescent="0.25">
      <c r="B45" s="730" t="s">
        <v>137</v>
      </c>
      <c r="C45" s="698"/>
      <c r="D45" s="698"/>
      <c r="I45" s="723"/>
      <c r="K45" s="731"/>
    </row>
    <row r="46" spans="2:23" ht="26.4" hidden="1" x14ac:dyDescent="0.25">
      <c r="B46" s="699" t="s">
        <v>138</v>
      </c>
      <c r="C46" s="699"/>
      <c r="D46" s="699"/>
      <c r="I46" s="723"/>
    </row>
    <row r="47" spans="2:23" hidden="1" x14ac:dyDescent="0.25">
      <c r="B47" s="699" t="s">
        <v>139</v>
      </c>
      <c r="C47" s="699"/>
      <c r="D47" s="699"/>
      <c r="I47" s="723"/>
    </row>
    <row r="48" spans="2:23" ht="13.2" customHeight="1" x14ac:dyDescent="0.25">
      <c r="B48" s="356"/>
      <c r="C48" s="356"/>
      <c r="D48" s="356"/>
      <c r="I48" s="723"/>
      <c r="J48" s="818" t="s">
        <v>140</v>
      </c>
      <c r="K48" s="818"/>
      <c r="L48" s="753"/>
      <c r="M48" s="752"/>
      <c r="N48" s="752"/>
      <c r="O48" s="752"/>
      <c r="P48" s="752"/>
      <c r="Q48" s="752"/>
      <c r="R48" s="752"/>
      <c r="S48" s="752"/>
    </row>
    <row r="49" spans="2:29" s="363" customFormat="1" ht="40.200000000000003" customHeight="1" x14ac:dyDescent="0.25">
      <c r="B49" s="732" t="s">
        <v>141</v>
      </c>
      <c r="C49" s="733" t="s">
        <v>142</v>
      </c>
      <c r="D49" s="833" t="s">
        <v>143</v>
      </c>
      <c r="E49" s="833"/>
      <c r="F49" s="833"/>
      <c r="G49" s="834" t="s">
        <v>144</v>
      </c>
      <c r="H49" s="834"/>
      <c r="I49" s="723"/>
    </row>
    <row r="50" spans="2:29" ht="61.95" customHeight="1" x14ac:dyDescent="0.25">
      <c r="B50" s="700" t="s">
        <v>145</v>
      </c>
      <c r="C50" s="750" t="s">
        <v>146</v>
      </c>
      <c r="D50" s="839" t="s">
        <v>147</v>
      </c>
      <c r="E50" s="839"/>
      <c r="F50" s="839"/>
      <c r="G50" s="702" cm="1">
        <f t="array" ref="G50">IFERROR(_xlfn.IFS($C$50=Biblioteca.Minergie.Paquetes[[#Headers],[Biblioteca.Minergie.Paquetes]],VLOOKUP(D50,Tabla2[#All],2,0),$C$50=Biblioteca.Personal.Paquetes[[#Headers],[Biblioteca.Personal.Paquetes]],VLOOKUP(D50,Tabla510[#All],2,0)),0)</f>
        <v>211</v>
      </c>
      <c r="H50" s="703" t="s">
        <v>148</v>
      </c>
      <c r="I50" s="723"/>
    </row>
    <row r="51" spans="2:29" ht="61.95" customHeight="1" x14ac:dyDescent="0.25">
      <c r="B51" s="700" t="s">
        <v>149</v>
      </c>
      <c r="C51" s="750" t="s">
        <v>146</v>
      </c>
      <c r="D51" s="840" t="s">
        <v>150</v>
      </c>
      <c r="E51" s="841"/>
      <c r="F51" s="842"/>
      <c r="G51" s="702" cm="1">
        <f t="array" ref="G51">IFERROR(_xlfn.IFS($C$51=Biblioteca.Minergie.Paquetes[[#Headers],[Biblioteca.Minergie.Paquetes]],VLOOKUP(D51,Tabla2[#All],2,0),$C$51=Biblioteca.Personal.Paquetes[[#Headers],[Biblioteca.Personal.Paquetes]],VLOOKUP(D51,Tabla510[#All],2,0)),0)</f>
        <v>14.6</v>
      </c>
      <c r="H51" s="703" t="s">
        <v>148</v>
      </c>
      <c r="I51" s="723"/>
    </row>
    <row r="52" spans="2:29" ht="61.95" customHeight="1" x14ac:dyDescent="0.25">
      <c r="B52" s="700" t="s">
        <v>151</v>
      </c>
      <c r="C52" s="750" t="s">
        <v>146</v>
      </c>
      <c r="D52" s="840" t="s">
        <v>152</v>
      </c>
      <c r="E52" s="841"/>
      <c r="F52" s="842"/>
      <c r="G52" s="702" cm="1">
        <f t="array" ref="G52">IFERROR(_xlfn.IFS($C$52=Biblioteca.Minergie.Paquetes[[#Headers],[Biblioteca.Minergie.Paquetes]],VLOOKUP(D52,Tabla2[#All],2,0),$C$52=Biblioteca.Personal.Paquetes[[#Headers],[Biblioteca.Personal.Paquetes]],VLOOKUP(D52,Tabla510[#All],2,0)),0)</f>
        <v>351</v>
      </c>
      <c r="H52" s="703" t="s">
        <v>148</v>
      </c>
      <c r="I52" s="723"/>
    </row>
    <row r="53" spans="2:29" ht="61.95" customHeight="1" x14ac:dyDescent="0.25">
      <c r="B53" s="700" t="s">
        <v>153</v>
      </c>
      <c r="C53" s="750" t="s">
        <v>146</v>
      </c>
      <c r="D53" s="840" t="s">
        <v>154</v>
      </c>
      <c r="E53" s="841"/>
      <c r="F53" s="842"/>
      <c r="G53" s="702" cm="1">
        <f t="array" ref="G53">IFERROR(_xlfn.IFS($C$53=Biblioteca.Minergie.Paquetes[[#Headers],[Biblioteca.Minergie.Paquetes]],VLOOKUP(D53,Tabla2[#All],2,0),$C$53=Biblioteca.Personal.Paquetes[[#Headers],[Biblioteca.Personal.Paquetes]],VLOOKUP(D53,Tabla510[#All],2,0)),0)</f>
        <v>73</v>
      </c>
      <c r="H53" s="703" t="s">
        <v>148</v>
      </c>
      <c r="I53" s="723"/>
    </row>
    <row r="54" spans="2:29" ht="19.5" customHeight="1" x14ac:dyDescent="0.25">
      <c r="B54" s="838" t="s">
        <v>155</v>
      </c>
      <c r="C54" s="838"/>
      <c r="D54" s="838"/>
      <c r="E54" s="838"/>
      <c r="F54" s="838"/>
      <c r="I54" s="723"/>
    </row>
    <row r="55" spans="2:29" x14ac:dyDescent="0.25">
      <c r="I55" s="723"/>
    </row>
    <row r="56" spans="2:29" x14ac:dyDescent="0.25">
      <c r="B56" s="734" t="s">
        <v>156</v>
      </c>
      <c r="C56" s="734"/>
      <c r="D56" s="734"/>
      <c r="E56" s="704"/>
      <c r="F56" s="705"/>
      <c r="G56" s="704"/>
      <c r="H56" s="705"/>
      <c r="I56" s="723"/>
    </row>
    <row r="57" spans="2:29" s="357" customFormat="1" ht="13.2" customHeight="1" x14ac:dyDescent="0.25">
      <c r="B57" s="827" t="s">
        <v>157</v>
      </c>
      <c r="C57" s="828"/>
      <c r="D57" s="706"/>
      <c r="E57" s="706"/>
      <c r="F57" s="707"/>
      <c r="G57" s="708">
        <f>D42</f>
        <v>16</v>
      </c>
      <c r="H57" s="709" t="s">
        <v>4</v>
      </c>
      <c r="I57" s="723"/>
      <c r="J57" s="818" t="s">
        <v>158</v>
      </c>
      <c r="K57" s="818"/>
      <c r="L57" s="753"/>
      <c r="M57" s="752"/>
      <c r="N57" s="752"/>
      <c r="O57" s="752"/>
      <c r="P57" s="752"/>
      <c r="Q57" s="752"/>
      <c r="R57" s="752"/>
      <c r="S57" s="752"/>
      <c r="T57" s="752"/>
      <c r="U57" s="355"/>
      <c r="V57" s="355"/>
      <c r="W57" s="355"/>
      <c r="X57" s="355"/>
      <c r="Y57" s="355"/>
      <c r="Z57" s="355"/>
      <c r="AA57" s="355"/>
      <c r="AB57" s="355"/>
      <c r="AC57" s="355"/>
    </row>
    <row r="58" spans="2:29" s="357" customFormat="1" ht="13.2" customHeight="1" x14ac:dyDescent="0.25">
      <c r="B58" s="827" t="s">
        <v>159</v>
      </c>
      <c r="C58" s="828"/>
      <c r="D58" s="706"/>
      <c r="E58" s="706"/>
      <c r="F58" s="707"/>
      <c r="G58" s="708">
        <f>D42</f>
        <v>16</v>
      </c>
      <c r="H58" s="709" t="s">
        <v>4</v>
      </c>
      <c r="I58" s="723"/>
      <c r="J58" s="818" t="s">
        <v>158</v>
      </c>
      <c r="K58" s="818"/>
      <c r="L58" s="753"/>
      <c r="M58" s="752"/>
      <c r="N58" s="752"/>
      <c r="O58" s="752"/>
      <c r="P58" s="752"/>
      <c r="Q58" s="752"/>
      <c r="R58" s="752"/>
      <c r="S58" s="752"/>
      <c r="T58" s="752"/>
      <c r="U58" s="355"/>
      <c r="V58" s="355"/>
      <c r="W58" s="355"/>
      <c r="X58" s="355"/>
      <c r="Y58" s="355"/>
      <c r="Z58" s="355"/>
      <c r="AA58" s="355"/>
      <c r="AB58" s="355"/>
      <c r="AC58" s="355"/>
    </row>
    <row r="59" spans="2:29" s="357" customFormat="1" ht="13.2" customHeight="1" x14ac:dyDescent="0.25">
      <c r="B59" s="829" t="s">
        <v>160</v>
      </c>
      <c r="C59" s="830"/>
      <c r="D59" s="711"/>
      <c r="E59" s="706"/>
      <c r="F59" s="707"/>
      <c r="G59" s="712">
        <f>C7-E7-F7</f>
        <v>6.0000000000000009</v>
      </c>
      <c r="H59" s="709" t="s">
        <v>4</v>
      </c>
      <c r="I59" s="723"/>
      <c r="J59" s="818" t="s">
        <v>161</v>
      </c>
      <c r="K59" s="818"/>
      <c r="L59" s="818"/>
      <c r="M59" s="752"/>
      <c r="N59" s="752"/>
      <c r="O59" s="752"/>
      <c r="P59" s="752"/>
      <c r="Q59" s="752"/>
      <c r="R59" s="752"/>
      <c r="S59" s="752"/>
      <c r="T59" s="752"/>
      <c r="U59" s="355"/>
      <c r="V59" s="355"/>
      <c r="W59" s="355"/>
      <c r="X59" s="355"/>
      <c r="Y59" s="355"/>
      <c r="Z59" s="355"/>
      <c r="AA59" s="355"/>
      <c r="AB59" s="355"/>
      <c r="AC59" s="355"/>
    </row>
    <row r="60" spans="2:29" s="357" customFormat="1" ht="13.2" customHeight="1" x14ac:dyDescent="0.25">
      <c r="B60" s="827" t="s">
        <v>162</v>
      </c>
      <c r="C60" s="828"/>
      <c r="D60" s="706"/>
      <c r="E60" s="706"/>
      <c r="F60" s="707"/>
      <c r="G60" s="712">
        <f>VLOOKUP($C$42,Tabla611[#All],3,FALSE)-G7</f>
        <v>26</v>
      </c>
      <c r="H60" s="709" t="s">
        <v>4</v>
      </c>
      <c r="I60" s="723"/>
      <c r="J60" s="818" t="s">
        <v>163</v>
      </c>
      <c r="K60" s="818"/>
      <c r="L60" s="753"/>
      <c r="M60" s="752"/>
      <c r="N60" s="752"/>
      <c r="O60" s="752"/>
      <c r="P60" s="752"/>
      <c r="Q60" s="752"/>
      <c r="R60" s="752"/>
      <c r="S60" s="752"/>
      <c r="T60" s="752"/>
      <c r="U60" s="355"/>
      <c r="V60" s="355"/>
      <c r="W60" s="355"/>
      <c r="X60" s="355"/>
      <c r="Y60" s="355"/>
      <c r="Z60" s="355"/>
      <c r="AA60" s="355"/>
      <c r="AB60" s="355"/>
      <c r="AC60" s="355"/>
    </row>
    <row r="61" spans="2:29" s="357" customFormat="1" x14ac:dyDescent="0.25">
      <c r="B61" s="827" t="s">
        <v>164</v>
      </c>
      <c r="C61" s="828"/>
      <c r="D61" s="706"/>
      <c r="E61" s="706"/>
      <c r="F61" s="707"/>
      <c r="G61" s="708">
        <f>D42</f>
        <v>16</v>
      </c>
      <c r="H61" s="709" t="s">
        <v>4</v>
      </c>
      <c r="I61" s="723"/>
      <c r="L61" s="355"/>
      <c r="M61" s="355"/>
      <c r="N61" s="355"/>
      <c r="O61" s="355"/>
      <c r="P61" s="355"/>
      <c r="Q61" s="355"/>
      <c r="R61" s="355"/>
      <c r="S61" s="355"/>
      <c r="T61" s="355"/>
      <c r="U61" s="355"/>
      <c r="V61" s="355"/>
      <c r="W61" s="355"/>
      <c r="X61" s="355"/>
      <c r="Y61" s="355"/>
      <c r="Z61" s="355"/>
      <c r="AA61" s="355"/>
      <c r="AB61" s="355"/>
      <c r="AC61" s="355"/>
    </row>
    <row r="62" spans="2:29" s="357" customFormat="1" ht="14.7" customHeight="1" x14ac:dyDescent="0.25">
      <c r="B62" s="827" t="s">
        <v>165</v>
      </c>
      <c r="C62" s="828"/>
      <c r="D62" s="706"/>
      <c r="E62" s="706"/>
      <c r="F62" s="707"/>
      <c r="G62" s="713">
        <f>G57+G58+G59+G60</f>
        <v>64</v>
      </c>
      <c r="H62" s="709" t="s">
        <v>4</v>
      </c>
      <c r="I62" s="723"/>
      <c r="J62" s="843" t="s">
        <v>166</v>
      </c>
      <c r="K62" s="843"/>
      <c r="L62" s="843"/>
      <c r="M62" s="752"/>
      <c r="N62" s="752"/>
      <c r="O62" s="752"/>
      <c r="P62" s="752"/>
      <c r="Q62" s="752"/>
      <c r="R62" s="752"/>
      <c r="S62" s="752"/>
      <c r="T62" s="752"/>
      <c r="U62" s="355"/>
      <c r="V62" s="355"/>
      <c r="W62" s="355"/>
      <c r="X62" s="355"/>
      <c r="Y62" s="355"/>
      <c r="Z62" s="355"/>
      <c r="AA62" s="355"/>
      <c r="AB62" s="355"/>
      <c r="AC62" s="355"/>
    </row>
    <row r="63" spans="2:29" x14ac:dyDescent="0.25">
      <c r="I63" s="723"/>
      <c r="J63" s="843"/>
      <c r="K63" s="843"/>
      <c r="L63" s="843"/>
      <c r="M63" s="752"/>
      <c r="N63" s="752"/>
      <c r="O63" s="752"/>
      <c r="P63" s="752"/>
      <c r="Q63" s="752"/>
      <c r="R63" s="752"/>
      <c r="S63" s="752"/>
      <c r="T63" s="752"/>
    </row>
    <row r="64" spans="2:29" s="357" customFormat="1" x14ac:dyDescent="0.25">
      <c r="B64" s="734" t="s">
        <v>167</v>
      </c>
      <c r="C64" s="734"/>
      <c r="D64" s="734"/>
      <c r="E64" s="704"/>
      <c r="F64" s="705"/>
      <c r="G64" s="704"/>
      <c r="H64" s="705"/>
      <c r="I64" s="723"/>
      <c r="L64" s="355"/>
      <c r="M64" s="355"/>
      <c r="N64" s="355"/>
      <c r="O64" s="355"/>
      <c r="P64" s="355"/>
      <c r="Q64" s="355"/>
      <c r="R64" s="355"/>
      <c r="S64" s="355"/>
      <c r="T64" s="355"/>
      <c r="U64" s="355"/>
      <c r="V64" s="355"/>
      <c r="W64" s="355"/>
      <c r="X64" s="355"/>
      <c r="Y64" s="355"/>
      <c r="Z64" s="355"/>
      <c r="AA64" s="355"/>
      <c r="AB64" s="355"/>
      <c r="AC64" s="355"/>
    </row>
    <row r="65" spans="2:29" s="357" customFormat="1" x14ac:dyDescent="0.25">
      <c r="B65" s="827" t="s">
        <v>168</v>
      </c>
      <c r="C65" s="828"/>
      <c r="D65" s="706"/>
      <c r="E65" s="706"/>
      <c r="F65" s="707"/>
      <c r="G65" s="708">
        <f>G57*G50+G58*G51+G59*G52+G60*G53</f>
        <v>7613.6</v>
      </c>
      <c r="H65" s="709" t="s">
        <v>169</v>
      </c>
      <c r="I65" s="723"/>
      <c r="L65" s="355"/>
      <c r="M65" s="355"/>
      <c r="N65" s="355"/>
      <c r="O65" s="355"/>
      <c r="P65" s="355"/>
      <c r="Q65" s="355"/>
      <c r="R65" s="355"/>
      <c r="S65" s="355"/>
      <c r="T65" s="355"/>
      <c r="U65" s="355"/>
      <c r="V65" s="355"/>
      <c r="W65" s="355"/>
      <c r="X65" s="355"/>
      <c r="Y65" s="355"/>
      <c r="Z65" s="355"/>
      <c r="AA65" s="355"/>
      <c r="AB65" s="355"/>
      <c r="AC65" s="355"/>
    </row>
    <row r="66" spans="2:29" s="357" customFormat="1" x14ac:dyDescent="0.25">
      <c r="B66" s="827" t="s">
        <v>170</v>
      </c>
      <c r="C66" s="828"/>
      <c r="D66" s="706"/>
      <c r="E66" s="706"/>
      <c r="F66" s="707"/>
      <c r="G66" s="714">
        <f>IFERROR(G65/G62,0)</f>
        <v>118.96250000000001</v>
      </c>
      <c r="H66" s="709" t="s">
        <v>148</v>
      </c>
      <c r="I66" s="723"/>
      <c r="L66" s="355"/>
      <c r="M66" s="355"/>
      <c r="N66" s="355"/>
      <c r="O66" s="355"/>
      <c r="P66" s="355"/>
      <c r="Q66" s="355"/>
      <c r="R66" s="355"/>
      <c r="S66" s="355"/>
      <c r="T66" s="355"/>
      <c r="U66" s="355"/>
      <c r="V66" s="355"/>
      <c r="W66" s="355"/>
      <c r="X66" s="355"/>
      <c r="Y66" s="355"/>
      <c r="Z66" s="355"/>
      <c r="AA66" s="355"/>
      <c r="AB66" s="355"/>
      <c r="AC66" s="355"/>
    </row>
    <row r="67" spans="2:29" s="357" customFormat="1" ht="14.7" customHeight="1" x14ac:dyDescent="0.25">
      <c r="B67" s="836" t="s">
        <v>171</v>
      </c>
      <c r="C67" s="837"/>
      <c r="D67" s="358"/>
      <c r="E67" s="358"/>
      <c r="F67" s="359"/>
      <c r="G67" s="360">
        <f>IFERROR(G65/G61,0)</f>
        <v>475.85</v>
      </c>
      <c r="H67" s="361" t="s">
        <v>148</v>
      </c>
      <c r="I67" s="723"/>
      <c r="L67" s="355"/>
      <c r="M67" s="355"/>
      <c r="N67" s="355"/>
      <c r="O67" s="355"/>
      <c r="P67" s="355"/>
      <c r="Q67" s="355"/>
      <c r="R67" s="355"/>
      <c r="S67" s="355"/>
      <c r="T67" s="355"/>
      <c r="U67" s="355"/>
      <c r="V67" s="355"/>
      <c r="W67" s="355"/>
      <c r="X67" s="355"/>
      <c r="Y67" s="355"/>
      <c r="Z67" s="355"/>
      <c r="AA67" s="355"/>
      <c r="AB67" s="355"/>
      <c r="AC67" s="355"/>
    </row>
    <row r="68" spans="2:29" s="357" customFormat="1" x14ac:dyDescent="0.25">
      <c r="B68" s="827" t="s">
        <v>171</v>
      </c>
      <c r="C68" s="828"/>
      <c r="D68" s="706"/>
      <c r="E68" s="706"/>
      <c r="F68" s="707"/>
      <c r="G68" s="714">
        <f>G67/3.6</f>
        <v>132.18055555555557</v>
      </c>
      <c r="H68" s="709" t="s">
        <v>172</v>
      </c>
      <c r="I68" s="723"/>
      <c r="L68" s="355"/>
      <c r="M68" s="355"/>
      <c r="N68" s="355"/>
      <c r="O68" s="355"/>
      <c r="P68" s="355"/>
      <c r="Q68" s="355"/>
      <c r="R68" s="355"/>
      <c r="S68" s="355"/>
      <c r="T68" s="355"/>
      <c r="U68" s="355"/>
      <c r="V68" s="355"/>
      <c r="W68" s="355"/>
      <c r="X68" s="355"/>
      <c r="Y68" s="355"/>
      <c r="Z68" s="355"/>
      <c r="AA68" s="355"/>
      <c r="AB68" s="355"/>
      <c r="AC68" s="355"/>
    </row>
    <row r="69" spans="2:29" s="357" customFormat="1" x14ac:dyDescent="0.25">
      <c r="B69" s="715"/>
      <c r="C69" s="715"/>
      <c r="D69" s="716"/>
      <c r="E69" s="716"/>
      <c r="F69" s="717"/>
      <c r="G69" s="718"/>
      <c r="H69" s="717"/>
      <c r="I69" s="723"/>
      <c r="L69" s="355"/>
      <c r="M69" s="355"/>
      <c r="N69" s="355"/>
      <c r="O69" s="355"/>
      <c r="P69" s="355"/>
      <c r="Q69" s="355"/>
      <c r="R69" s="355"/>
      <c r="S69" s="355"/>
      <c r="T69" s="355"/>
      <c r="U69" s="355"/>
      <c r="V69" s="355"/>
      <c r="W69" s="355"/>
      <c r="X69" s="355"/>
      <c r="Y69" s="355"/>
      <c r="Z69" s="355"/>
      <c r="AA69" s="355"/>
      <c r="AB69" s="355"/>
      <c r="AC69" s="355"/>
    </row>
    <row r="70" spans="2:29" s="357" customFormat="1" x14ac:dyDescent="0.25">
      <c r="B70" s="364"/>
      <c r="C70" s="364"/>
      <c r="D70" s="355"/>
      <c r="E70" s="355"/>
      <c r="G70" s="719"/>
      <c r="I70" s="723"/>
      <c r="L70" s="355"/>
      <c r="M70" s="355"/>
      <c r="N70" s="355"/>
      <c r="O70" s="355"/>
      <c r="P70" s="355"/>
      <c r="Q70" s="355"/>
      <c r="R70" s="355"/>
      <c r="S70" s="355"/>
      <c r="T70" s="355"/>
      <c r="U70" s="355"/>
      <c r="V70" s="355"/>
      <c r="W70" s="355"/>
      <c r="X70" s="355"/>
      <c r="Y70" s="355"/>
      <c r="Z70" s="355"/>
      <c r="AA70" s="355"/>
      <c r="AB70" s="355"/>
      <c r="AC70" s="355"/>
    </row>
    <row r="71" spans="2:29" ht="26.4" x14ac:dyDescent="0.25">
      <c r="B71" s="831">
        <v>2</v>
      </c>
      <c r="C71" s="726" t="s">
        <v>131</v>
      </c>
      <c r="D71" s="727" t="s">
        <v>132</v>
      </c>
    </row>
    <row r="72" spans="2:29" x14ac:dyDescent="0.25">
      <c r="B72" s="832"/>
      <c r="C72" s="728" t="s">
        <v>118</v>
      </c>
      <c r="D72" s="697">
        <v>12</v>
      </c>
    </row>
    <row r="73" spans="2:29" x14ac:dyDescent="0.25">
      <c r="B73" s="356"/>
      <c r="C73" s="356"/>
      <c r="D73" s="356"/>
    </row>
    <row r="74" spans="2:29" ht="45" customHeight="1" x14ac:dyDescent="0.25">
      <c r="B74" s="732" t="s">
        <v>141</v>
      </c>
      <c r="C74" s="733" t="s">
        <v>142</v>
      </c>
      <c r="D74" s="833" t="s">
        <v>143</v>
      </c>
      <c r="E74" s="833"/>
      <c r="F74" s="833"/>
      <c r="G74" s="834" t="s">
        <v>144</v>
      </c>
      <c r="H74" s="834"/>
    </row>
    <row r="75" spans="2:29" ht="61.95" customHeight="1" x14ac:dyDescent="0.25">
      <c r="B75" s="700" t="s">
        <v>145</v>
      </c>
      <c r="C75" s="750" t="s">
        <v>146</v>
      </c>
      <c r="D75" s="835" t="s">
        <v>147</v>
      </c>
      <c r="E75" s="835"/>
      <c r="F75" s="835"/>
      <c r="G75" s="702" cm="1">
        <f t="array" ref="G75">IFERROR(_xlfn.IFS($C$75=Biblioteca.Minergie.Paquetes[[#Headers],[Biblioteca.Minergie.Paquetes]],VLOOKUP(D75,Tabla2[#All],2,0),$C$75=Biblioteca.Personal.Paquetes[[#Headers],[Biblioteca.Personal.Paquetes]],VLOOKUP(D75,Tabla510[#All],2,0)),0)</f>
        <v>211</v>
      </c>
      <c r="H75" s="703" t="s">
        <v>148</v>
      </c>
    </row>
    <row r="76" spans="2:29" ht="61.95" customHeight="1" x14ac:dyDescent="0.25">
      <c r="B76" s="700" t="s">
        <v>149</v>
      </c>
      <c r="C76" s="701" t="s">
        <v>146</v>
      </c>
      <c r="D76" s="835" t="s">
        <v>150</v>
      </c>
      <c r="E76" s="835"/>
      <c r="F76" s="835"/>
      <c r="G76" s="702" cm="1">
        <f t="array" ref="G76">IFERROR(_xlfn.IFS($C76=Biblioteca.Minergie.Paquetes[[#Headers],[Biblioteca.Minergie.Paquetes]],VLOOKUP(D76,Tabla2[#All],2,0),$C76=Biblioteca.Personal.Paquetes[[#Headers],[Biblioteca.Personal.Paquetes]],VLOOKUP(D76,Tabla510[#All],2,0)),0)</f>
        <v>14.6</v>
      </c>
      <c r="H76" s="703" t="s">
        <v>148</v>
      </c>
    </row>
    <row r="77" spans="2:29" ht="61.95" customHeight="1" x14ac:dyDescent="0.25">
      <c r="B77" s="700" t="s">
        <v>151</v>
      </c>
      <c r="C77" s="701" t="s">
        <v>146</v>
      </c>
      <c r="D77" s="835" t="s">
        <v>152</v>
      </c>
      <c r="E77" s="835"/>
      <c r="F77" s="835"/>
      <c r="G77" s="702" cm="1">
        <f t="array" ref="G77">IFERROR(_xlfn.IFS($C77=Biblioteca.Minergie.Paquetes[[#Headers],[Biblioteca.Minergie.Paquetes]],VLOOKUP(D77,Tabla2[#All],2,0),$C77=Biblioteca.Personal.Paquetes[[#Headers],[Biblioteca.Personal.Paquetes]],VLOOKUP(D77,Tabla510[#All],2,0)),0)</f>
        <v>351</v>
      </c>
      <c r="H77" s="703" t="s">
        <v>148</v>
      </c>
    </row>
    <row r="78" spans="2:29" ht="61.95" customHeight="1" x14ac:dyDescent="0.25">
      <c r="B78" s="710" t="s">
        <v>153</v>
      </c>
      <c r="C78" s="701" t="s">
        <v>146</v>
      </c>
      <c r="D78" s="835" t="s">
        <v>154</v>
      </c>
      <c r="E78" s="835"/>
      <c r="F78" s="835"/>
      <c r="G78" s="702" cm="1">
        <f t="array" ref="G78">IFERROR(_xlfn.IFS($C78=Biblioteca.Minergie.Paquetes[[#Headers],[Biblioteca.Minergie.Paquetes]],VLOOKUP(D78,Tabla2[#All],2,0),$C78=Biblioteca.Personal.Paquetes[[#Headers],[Biblioteca.Personal.Paquetes]],VLOOKUP(D78,Tabla510[#All],2,0)),0)</f>
        <v>73</v>
      </c>
      <c r="H78" s="703" t="s">
        <v>148</v>
      </c>
    </row>
    <row r="79" spans="2:29" ht="32.4" customHeight="1" x14ac:dyDescent="0.25">
      <c r="B79" s="838" t="s">
        <v>155</v>
      </c>
      <c r="C79" s="838"/>
      <c r="D79" s="838"/>
      <c r="E79" s="838"/>
      <c r="F79" s="838"/>
    </row>
    <row r="81" spans="2:8" x14ac:dyDescent="0.25">
      <c r="B81" s="734" t="s">
        <v>156</v>
      </c>
      <c r="C81" s="734"/>
      <c r="D81" s="734"/>
      <c r="E81" s="704"/>
      <c r="F81" s="705"/>
      <c r="G81" s="704"/>
      <c r="H81" s="705"/>
    </row>
    <row r="82" spans="2:8" x14ac:dyDescent="0.25">
      <c r="B82" s="827" t="s">
        <v>157</v>
      </c>
      <c r="C82" s="828"/>
      <c r="D82" s="706"/>
      <c r="E82" s="706"/>
      <c r="F82" s="707"/>
      <c r="G82" s="708">
        <f>D72</f>
        <v>12</v>
      </c>
      <c r="H82" s="709" t="s">
        <v>4</v>
      </c>
    </row>
    <row r="83" spans="2:8" x14ac:dyDescent="0.25">
      <c r="B83" s="827" t="s">
        <v>159</v>
      </c>
      <c r="C83" s="828"/>
      <c r="D83" s="706"/>
      <c r="E83" s="706"/>
      <c r="F83" s="707"/>
      <c r="G83" s="708">
        <f>D72</f>
        <v>12</v>
      </c>
      <c r="H83" s="709" t="s">
        <v>4</v>
      </c>
    </row>
    <row r="84" spans="2:8" x14ac:dyDescent="0.25">
      <c r="B84" s="829" t="s">
        <v>160</v>
      </c>
      <c r="C84" s="830"/>
      <c r="D84" s="711"/>
      <c r="E84" s="706"/>
      <c r="F84" s="707"/>
      <c r="G84" s="712">
        <f>C8-E8-F8</f>
        <v>13.699999999999998</v>
      </c>
      <c r="H84" s="709" t="s">
        <v>4</v>
      </c>
    </row>
    <row r="85" spans="2:8" x14ac:dyDescent="0.25">
      <c r="B85" s="827" t="s">
        <v>162</v>
      </c>
      <c r="C85" s="828"/>
      <c r="D85" s="706"/>
      <c r="E85" s="706"/>
      <c r="F85" s="707"/>
      <c r="G85" s="712">
        <f>VLOOKUP($C$72,Tabla611[#All],3,FALSE)-G32</f>
        <v>16.099999999999998</v>
      </c>
      <c r="H85" s="709" t="s">
        <v>4</v>
      </c>
    </row>
    <row r="86" spans="2:8" x14ac:dyDescent="0.25">
      <c r="B86" s="827" t="s">
        <v>164</v>
      </c>
      <c r="C86" s="828"/>
      <c r="D86" s="706"/>
      <c r="E86" s="706"/>
      <c r="F86" s="707"/>
      <c r="G86" s="708">
        <f>D72</f>
        <v>12</v>
      </c>
      <c r="H86" s="709" t="s">
        <v>4</v>
      </c>
    </row>
    <row r="87" spans="2:8" x14ac:dyDescent="0.25">
      <c r="B87" s="827" t="s">
        <v>165</v>
      </c>
      <c r="C87" s="828"/>
      <c r="D87" s="706"/>
      <c r="E87" s="706"/>
      <c r="F87" s="707"/>
      <c r="G87" s="713">
        <f>G82+G83+G84+G85</f>
        <v>53.8</v>
      </c>
      <c r="H87" s="709" t="s">
        <v>4</v>
      </c>
    </row>
    <row r="89" spans="2:8" x14ac:dyDescent="0.25">
      <c r="B89" s="734" t="s">
        <v>167</v>
      </c>
      <c r="C89" s="734"/>
      <c r="D89" s="734"/>
      <c r="E89" s="704"/>
      <c r="F89" s="705"/>
      <c r="G89" s="704"/>
      <c r="H89" s="705"/>
    </row>
    <row r="90" spans="2:8" x14ac:dyDescent="0.25">
      <c r="B90" s="827" t="s">
        <v>168</v>
      </c>
      <c r="C90" s="828"/>
      <c r="D90" s="706"/>
      <c r="E90" s="706"/>
      <c r="F90" s="707"/>
      <c r="G90" s="708">
        <f>G82*G75+G83*G76+G84*G77+G85*G78</f>
        <v>8691.1999999999989</v>
      </c>
      <c r="H90" s="709" t="s">
        <v>169</v>
      </c>
    </row>
    <row r="91" spans="2:8" x14ac:dyDescent="0.25">
      <c r="B91" s="827" t="s">
        <v>170</v>
      </c>
      <c r="C91" s="828"/>
      <c r="D91" s="706"/>
      <c r="E91" s="706"/>
      <c r="F91" s="707"/>
      <c r="G91" s="714">
        <f>IFERROR(G90/G87,0)</f>
        <v>161.54646840148698</v>
      </c>
      <c r="H91" s="709" t="s">
        <v>148</v>
      </c>
    </row>
    <row r="92" spans="2:8" x14ac:dyDescent="0.25">
      <c r="B92" s="836" t="s">
        <v>171</v>
      </c>
      <c r="C92" s="837"/>
      <c r="D92" s="358"/>
      <c r="E92" s="358"/>
      <c r="F92" s="359"/>
      <c r="G92" s="360">
        <f>IFERROR(G90/G86,0)</f>
        <v>724.26666666666654</v>
      </c>
      <c r="H92" s="361" t="s">
        <v>148</v>
      </c>
    </row>
    <row r="93" spans="2:8" x14ac:dyDescent="0.25">
      <c r="B93" s="827" t="s">
        <v>171</v>
      </c>
      <c r="C93" s="828"/>
      <c r="D93" s="706"/>
      <c r="E93" s="706"/>
      <c r="F93" s="707"/>
      <c r="G93" s="714">
        <f>G92/3.6</f>
        <v>201.18518518518513</v>
      </c>
      <c r="H93" s="709" t="s">
        <v>172</v>
      </c>
    </row>
    <row r="96" spans="2:8" ht="26.4" x14ac:dyDescent="0.25">
      <c r="B96" s="831">
        <v>3</v>
      </c>
      <c r="C96" s="726" t="s">
        <v>131</v>
      </c>
      <c r="D96" s="727" t="s">
        <v>132</v>
      </c>
    </row>
    <row r="97" spans="2:8" x14ac:dyDescent="0.25">
      <c r="B97" s="832"/>
      <c r="C97" s="728" t="s">
        <v>121</v>
      </c>
      <c r="D97" s="697">
        <v>6</v>
      </c>
    </row>
    <row r="98" spans="2:8" x14ac:dyDescent="0.25">
      <c r="B98" s="356"/>
      <c r="C98" s="356"/>
      <c r="D98" s="356"/>
    </row>
    <row r="99" spans="2:8" ht="45" customHeight="1" x14ac:dyDescent="0.25">
      <c r="B99" s="732" t="s">
        <v>141</v>
      </c>
      <c r="C99" s="733" t="s">
        <v>142</v>
      </c>
      <c r="D99" s="833" t="s">
        <v>143</v>
      </c>
      <c r="E99" s="833"/>
      <c r="F99" s="833"/>
      <c r="G99" s="834" t="s">
        <v>144</v>
      </c>
      <c r="H99" s="834"/>
    </row>
    <row r="100" spans="2:8" ht="61.95" customHeight="1" x14ac:dyDescent="0.25">
      <c r="B100" s="700" t="s">
        <v>145</v>
      </c>
      <c r="C100" s="701" t="s">
        <v>146</v>
      </c>
      <c r="D100" s="835" t="s">
        <v>147</v>
      </c>
      <c r="E100" s="835"/>
      <c r="F100" s="835"/>
      <c r="G100" s="702" cm="1">
        <f t="array" ref="G100">IFERROR(_xlfn.IFS($C100=Biblioteca.Minergie.Paquetes[[#Headers],[Biblioteca.Minergie.Paquetes]],VLOOKUP(D100,Tabla2[#All],2,0),$C100=Biblioteca.Personal.Paquetes[[#Headers],[Biblioteca.Personal.Paquetes]],VLOOKUP(D100,Tabla510[#All],2,0)),0)</f>
        <v>211</v>
      </c>
      <c r="H100" s="703" t="s">
        <v>148</v>
      </c>
    </row>
    <row r="101" spans="2:8" ht="61.95" customHeight="1" x14ac:dyDescent="0.25">
      <c r="B101" s="700" t="s">
        <v>149</v>
      </c>
      <c r="C101" s="701" t="s">
        <v>146</v>
      </c>
      <c r="D101" s="835" t="s">
        <v>173</v>
      </c>
      <c r="E101" s="835"/>
      <c r="F101" s="835"/>
      <c r="G101" s="702" cm="1">
        <f t="array" ref="G101">IFERROR(_xlfn.IFS($C101=Biblioteca.Minergie.Paquetes[[#Headers],[Biblioteca.Minergie.Paquetes]],VLOOKUP(D101,Tabla2[#All],2,0),$C101=Biblioteca.Personal.Paquetes[[#Headers],[Biblioteca.Personal.Paquetes]],VLOOKUP(D101,Tabla510[#All],2,0)),0)</f>
        <v>2.5</v>
      </c>
      <c r="H101" s="703" t="s">
        <v>148</v>
      </c>
    </row>
    <row r="102" spans="2:8" ht="61.95" customHeight="1" x14ac:dyDescent="0.25">
      <c r="B102" s="700" t="s">
        <v>151</v>
      </c>
      <c r="C102" s="701" t="s">
        <v>146</v>
      </c>
      <c r="D102" s="835" t="s">
        <v>152</v>
      </c>
      <c r="E102" s="835"/>
      <c r="F102" s="835"/>
      <c r="G102" s="702" cm="1">
        <f t="array" ref="G102">IFERROR(_xlfn.IFS($C102=Biblioteca.Minergie.Paquetes[[#Headers],[Biblioteca.Minergie.Paquetes]],VLOOKUP(D102,Tabla2[#All],2,0),$C102=Biblioteca.Personal.Paquetes[[#Headers],[Biblioteca.Personal.Paquetes]],VLOOKUP(D102,Tabla510[#All],2,0)),0)</f>
        <v>351</v>
      </c>
      <c r="H102" s="703" t="s">
        <v>148</v>
      </c>
    </row>
    <row r="103" spans="2:8" ht="61.95" customHeight="1" x14ac:dyDescent="0.25">
      <c r="B103" s="710" t="s">
        <v>153</v>
      </c>
      <c r="C103" s="701" t="s">
        <v>146</v>
      </c>
      <c r="D103" s="835" t="s">
        <v>174</v>
      </c>
      <c r="E103" s="835"/>
      <c r="F103" s="835"/>
      <c r="G103" s="702" cm="1">
        <f t="array" ref="G103">IFERROR(_xlfn.IFS($C103=Biblioteca.Minergie.Paquetes[[#Headers],[Biblioteca.Minergie.Paquetes]],VLOOKUP(D103,Tabla2[#All],2,0),$C103=Biblioteca.Personal.Paquetes[[#Headers],[Biblioteca.Personal.Paquetes]],VLOOKUP(D103,Tabla510[#All],2,0)),0)</f>
        <v>23</v>
      </c>
      <c r="H103" s="703" t="s">
        <v>148</v>
      </c>
    </row>
    <row r="104" spans="2:8" ht="27.6" customHeight="1" x14ac:dyDescent="0.25">
      <c r="B104" s="838" t="s">
        <v>155</v>
      </c>
      <c r="C104" s="838"/>
      <c r="D104" s="838"/>
      <c r="E104" s="838"/>
      <c r="F104" s="838"/>
    </row>
    <row r="106" spans="2:8" x14ac:dyDescent="0.25">
      <c r="B106" s="734" t="s">
        <v>156</v>
      </c>
      <c r="C106" s="734"/>
      <c r="D106" s="734"/>
      <c r="E106" s="704"/>
      <c r="F106" s="705"/>
      <c r="G106" s="704"/>
      <c r="H106" s="705"/>
    </row>
    <row r="107" spans="2:8" x14ac:dyDescent="0.25">
      <c r="B107" s="827" t="s">
        <v>157</v>
      </c>
      <c r="C107" s="828"/>
      <c r="D107" s="706"/>
      <c r="E107" s="706"/>
      <c r="F107" s="707"/>
      <c r="G107" s="708">
        <f>D97</f>
        <v>6</v>
      </c>
      <c r="H107" s="709" t="s">
        <v>4</v>
      </c>
    </row>
    <row r="108" spans="2:8" x14ac:dyDescent="0.25">
      <c r="B108" s="827" t="s">
        <v>159</v>
      </c>
      <c r="C108" s="828"/>
      <c r="D108" s="706"/>
      <c r="E108" s="706"/>
      <c r="F108" s="707"/>
      <c r="G108" s="708">
        <f>D97</f>
        <v>6</v>
      </c>
      <c r="H108" s="709" t="s">
        <v>4</v>
      </c>
    </row>
    <row r="109" spans="2:8" x14ac:dyDescent="0.25">
      <c r="B109" s="829" t="s">
        <v>160</v>
      </c>
      <c r="C109" s="830"/>
      <c r="D109" s="711"/>
      <c r="E109" s="706"/>
      <c r="F109" s="707"/>
      <c r="G109" s="712">
        <f>C9-E9-F9</f>
        <v>14.899999999999999</v>
      </c>
      <c r="H109" s="709" t="s">
        <v>4</v>
      </c>
    </row>
    <row r="110" spans="2:8" x14ac:dyDescent="0.25">
      <c r="B110" s="827" t="s">
        <v>162</v>
      </c>
      <c r="C110" s="828"/>
      <c r="D110" s="706"/>
      <c r="E110" s="706"/>
      <c r="F110" s="707"/>
      <c r="G110" s="712">
        <f>VLOOKUP($C$97,Tabla611[#All],3,FALSE)-G9</f>
        <v>7.6</v>
      </c>
      <c r="H110" s="709" t="s">
        <v>4</v>
      </c>
    </row>
    <row r="111" spans="2:8" x14ac:dyDescent="0.25">
      <c r="B111" s="827" t="s">
        <v>164</v>
      </c>
      <c r="C111" s="828"/>
      <c r="D111" s="706"/>
      <c r="E111" s="706"/>
      <c r="F111" s="707"/>
      <c r="G111" s="708">
        <f>D97</f>
        <v>6</v>
      </c>
      <c r="H111" s="709" t="s">
        <v>4</v>
      </c>
    </row>
    <row r="112" spans="2:8" x14ac:dyDescent="0.25">
      <c r="B112" s="827" t="s">
        <v>165</v>
      </c>
      <c r="C112" s="828"/>
      <c r="D112" s="706"/>
      <c r="E112" s="706"/>
      <c r="F112" s="707"/>
      <c r="G112" s="713">
        <f>G107+G108+G109+G110</f>
        <v>34.5</v>
      </c>
      <c r="H112" s="709" t="s">
        <v>4</v>
      </c>
    </row>
    <row r="114" spans="2:8" x14ac:dyDescent="0.25">
      <c r="B114" s="734" t="s">
        <v>167</v>
      </c>
      <c r="C114" s="734"/>
      <c r="D114" s="734"/>
      <c r="E114" s="704"/>
      <c r="F114" s="705"/>
      <c r="G114" s="704"/>
      <c r="H114" s="705"/>
    </row>
    <row r="115" spans="2:8" x14ac:dyDescent="0.25">
      <c r="B115" s="827" t="s">
        <v>168</v>
      </c>
      <c r="C115" s="828"/>
      <c r="D115" s="706"/>
      <c r="E115" s="706"/>
      <c r="F115" s="707"/>
      <c r="G115" s="708">
        <f>G107*G100+G108*G101+G109*G102+G110*G103</f>
        <v>6685.7</v>
      </c>
      <c r="H115" s="709" t="s">
        <v>169</v>
      </c>
    </row>
    <row r="116" spans="2:8" x14ac:dyDescent="0.25">
      <c r="B116" s="827" t="s">
        <v>170</v>
      </c>
      <c r="C116" s="828"/>
      <c r="D116" s="706"/>
      <c r="E116" s="706"/>
      <c r="F116" s="707"/>
      <c r="G116" s="714">
        <f>IFERROR(G115/G112,0)</f>
        <v>193.78840579710143</v>
      </c>
      <c r="H116" s="709" t="s">
        <v>148</v>
      </c>
    </row>
    <row r="117" spans="2:8" x14ac:dyDescent="0.25">
      <c r="B117" s="836" t="s">
        <v>171</v>
      </c>
      <c r="C117" s="837"/>
      <c r="D117" s="358"/>
      <c r="E117" s="358"/>
      <c r="F117" s="359"/>
      <c r="G117" s="360">
        <f>IFERROR(G115/G111,0)</f>
        <v>1114.2833333333333</v>
      </c>
      <c r="H117" s="361" t="s">
        <v>148</v>
      </c>
    </row>
    <row r="118" spans="2:8" x14ac:dyDescent="0.25">
      <c r="B118" s="827" t="s">
        <v>171</v>
      </c>
      <c r="C118" s="828"/>
      <c r="D118" s="706"/>
      <c r="E118" s="706"/>
      <c r="F118" s="707"/>
      <c r="G118" s="714">
        <f>G117/3.6</f>
        <v>309.52314814814815</v>
      </c>
      <c r="H118" s="709" t="s">
        <v>172</v>
      </c>
    </row>
    <row r="121" spans="2:8" ht="26.4" x14ac:dyDescent="0.25">
      <c r="B121" s="831">
        <v>4</v>
      </c>
      <c r="C121" s="726" t="s">
        <v>131</v>
      </c>
      <c r="D121" s="727" t="s">
        <v>132</v>
      </c>
    </row>
    <row r="122" spans="2:8" x14ac:dyDescent="0.25">
      <c r="B122" s="832"/>
      <c r="C122" s="728" t="s">
        <v>123</v>
      </c>
      <c r="D122" s="697">
        <v>25</v>
      </c>
    </row>
    <row r="123" spans="2:8" x14ac:dyDescent="0.25">
      <c r="B123" s="356"/>
      <c r="C123" s="356"/>
      <c r="D123" s="356"/>
    </row>
    <row r="124" spans="2:8" ht="45" customHeight="1" x14ac:dyDescent="0.25">
      <c r="B124" s="732" t="s">
        <v>141</v>
      </c>
      <c r="C124" s="733" t="s">
        <v>142</v>
      </c>
      <c r="D124" s="833" t="s">
        <v>143</v>
      </c>
      <c r="E124" s="833"/>
      <c r="F124" s="833"/>
      <c r="G124" s="834" t="s">
        <v>144</v>
      </c>
      <c r="H124" s="834"/>
    </row>
    <row r="125" spans="2:8" ht="64.95" customHeight="1" x14ac:dyDescent="0.25">
      <c r="B125" s="700" t="s">
        <v>145</v>
      </c>
      <c r="C125" s="701" t="s">
        <v>146</v>
      </c>
      <c r="D125" s="835" t="s">
        <v>147</v>
      </c>
      <c r="E125" s="835"/>
      <c r="F125" s="835"/>
      <c r="G125" s="702" cm="1">
        <f t="array" ref="G125">IFERROR(_xlfn.IFS($C125=Biblioteca.Minergie.Paquetes[[#Headers],[Biblioteca.Minergie.Paquetes]],VLOOKUP(D125,Tabla2[#All],2,0),$C125=Biblioteca.Personal.Paquetes[[#Headers],[Biblioteca.Personal.Paquetes]],VLOOKUP(D125,Tabla510[#All],2,0)),0)</f>
        <v>211</v>
      </c>
      <c r="H125" s="703" t="s">
        <v>148</v>
      </c>
    </row>
    <row r="126" spans="2:8" ht="64.95" customHeight="1" x14ac:dyDescent="0.25">
      <c r="B126" s="700" t="s">
        <v>149</v>
      </c>
      <c r="C126" s="701" t="s">
        <v>146</v>
      </c>
      <c r="D126" s="835" t="s">
        <v>173</v>
      </c>
      <c r="E126" s="835"/>
      <c r="F126" s="835"/>
      <c r="G126" s="702" cm="1">
        <f t="array" ref="G126">IFERROR(_xlfn.IFS($C126=Biblioteca.Minergie.Paquetes[[#Headers],[Biblioteca.Minergie.Paquetes]],VLOOKUP(D126,Tabla2[#All],2,0),$C126=Biblioteca.Personal.Paquetes[[#Headers],[Biblioteca.Personal.Paquetes]],VLOOKUP(D126,Tabla510[#All],2,0)),0)</f>
        <v>2.5</v>
      </c>
      <c r="H126" s="703" t="s">
        <v>148</v>
      </c>
    </row>
    <row r="127" spans="2:8" ht="64.95" customHeight="1" x14ac:dyDescent="0.25">
      <c r="B127" s="700" t="s">
        <v>151</v>
      </c>
      <c r="C127" s="701" t="s">
        <v>146</v>
      </c>
      <c r="D127" s="835" t="s">
        <v>152</v>
      </c>
      <c r="E127" s="835"/>
      <c r="F127" s="835"/>
      <c r="G127" s="702" cm="1">
        <f t="array" ref="G127">IFERROR(_xlfn.IFS($C127=Biblioteca.Minergie.Paquetes[[#Headers],[Biblioteca.Minergie.Paquetes]],VLOOKUP(D127,Tabla2[#All],2,0),$C127=Biblioteca.Personal.Paquetes[[#Headers],[Biblioteca.Personal.Paquetes]],VLOOKUP(D127,Tabla510[#All],2,0)),0)</f>
        <v>351</v>
      </c>
      <c r="H127" s="703" t="s">
        <v>148</v>
      </c>
    </row>
    <row r="128" spans="2:8" ht="64.95" customHeight="1" x14ac:dyDescent="0.25">
      <c r="B128" s="710" t="s">
        <v>153</v>
      </c>
      <c r="C128" s="701" t="s">
        <v>146</v>
      </c>
      <c r="D128" s="835" t="s">
        <v>174</v>
      </c>
      <c r="E128" s="835"/>
      <c r="F128" s="835"/>
      <c r="G128" s="702" cm="1">
        <f t="array" ref="G128">IFERROR(_xlfn.IFS($C128=Biblioteca.Minergie.Paquetes[[#Headers],[Biblioteca.Minergie.Paquetes]],VLOOKUP(D128,Tabla2[#All],2,0),$C128=Biblioteca.Personal.Paquetes[[#Headers],[Biblioteca.Personal.Paquetes]],VLOOKUP(D128,Tabla510[#All],2,0)),0)</f>
        <v>23</v>
      </c>
      <c r="H128" s="703" t="s">
        <v>148</v>
      </c>
    </row>
    <row r="129" spans="2:8" ht="27.6" customHeight="1" x14ac:dyDescent="0.25">
      <c r="B129" s="838" t="s">
        <v>155</v>
      </c>
      <c r="C129" s="838"/>
      <c r="D129" s="838"/>
      <c r="E129" s="838"/>
      <c r="F129" s="838"/>
    </row>
    <row r="131" spans="2:8" x14ac:dyDescent="0.25">
      <c r="B131" s="734" t="s">
        <v>156</v>
      </c>
      <c r="C131" s="734"/>
      <c r="D131" s="734"/>
      <c r="E131" s="704"/>
      <c r="F131" s="705"/>
      <c r="G131" s="704"/>
      <c r="H131" s="705"/>
    </row>
    <row r="132" spans="2:8" x14ac:dyDescent="0.25">
      <c r="B132" s="827" t="s">
        <v>157</v>
      </c>
      <c r="C132" s="828"/>
      <c r="D132" s="706"/>
      <c r="E132" s="706"/>
      <c r="F132" s="707"/>
      <c r="G132" s="708">
        <f>D122</f>
        <v>25</v>
      </c>
      <c r="H132" s="709" t="s">
        <v>4</v>
      </c>
    </row>
    <row r="133" spans="2:8" x14ac:dyDescent="0.25">
      <c r="B133" s="827" t="s">
        <v>159</v>
      </c>
      <c r="C133" s="828"/>
      <c r="D133" s="706"/>
      <c r="E133" s="706"/>
      <c r="F133" s="707"/>
      <c r="G133" s="708">
        <f>D122</f>
        <v>25</v>
      </c>
      <c r="H133" s="709" t="s">
        <v>4</v>
      </c>
    </row>
    <row r="134" spans="2:8" x14ac:dyDescent="0.25">
      <c r="B134" s="829" t="s">
        <v>160</v>
      </c>
      <c r="C134" s="830"/>
      <c r="D134" s="711"/>
      <c r="E134" s="706"/>
      <c r="F134" s="707"/>
      <c r="G134" s="712">
        <f>C10-E10-F10</f>
        <v>23.749999999999996</v>
      </c>
      <c r="H134" s="709" t="s">
        <v>4</v>
      </c>
    </row>
    <row r="135" spans="2:8" x14ac:dyDescent="0.25">
      <c r="B135" s="827" t="s">
        <v>162</v>
      </c>
      <c r="C135" s="828"/>
      <c r="D135" s="706"/>
      <c r="E135" s="706"/>
      <c r="F135" s="707"/>
      <c r="G135" s="712">
        <f>VLOOKUP($C122,Tabla611[#All],3,FALSE)-G10</f>
        <v>9.1999999999999993</v>
      </c>
      <c r="H135" s="709" t="s">
        <v>4</v>
      </c>
    </row>
    <row r="136" spans="2:8" x14ac:dyDescent="0.25">
      <c r="B136" s="827" t="s">
        <v>164</v>
      </c>
      <c r="C136" s="828"/>
      <c r="D136" s="706"/>
      <c r="E136" s="706"/>
      <c r="F136" s="707"/>
      <c r="G136" s="708">
        <f>D122</f>
        <v>25</v>
      </c>
      <c r="H136" s="709" t="s">
        <v>4</v>
      </c>
    </row>
    <row r="137" spans="2:8" x14ac:dyDescent="0.25">
      <c r="B137" s="827" t="s">
        <v>165</v>
      </c>
      <c r="C137" s="828"/>
      <c r="D137" s="706"/>
      <c r="E137" s="706"/>
      <c r="F137" s="707"/>
      <c r="G137" s="713">
        <f>G132+G133+G134+G135</f>
        <v>82.95</v>
      </c>
      <c r="H137" s="709" t="s">
        <v>4</v>
      </c>
    </row>
    <row r="139" spans="2:8" x14ac:dyDescent="0.25">
      <c r="B139" s="734" t="s">
        <v>167</v>
      </c>
      <c r="C139" s="734"/>
      <c r="D139" s="734"/>
      <c r="E139" s="704"/>
      <c r="F139" s="705"/>
      <c r="G139" s="704"/>
      <c r="H139" s="705"/>
    </row>
    <row r="140" spans="2:8" x14ac:dyDescent="0.25">
      <c r="B140" s="827" t="s">
        <v>168</v>
      </c>
      <c r="C140" s="828"/>
      <c r="D140" s="706"/>
      <c r="E140" s="706"/>
      <c r="F140" s="707"/>
      <c r="G140" s="708">
        <f>G132*G125+G133*G126+G134*G127+G135*G128</f>
        <v>13885.349999999999</v>
      </c>
      <c r="H140" s="709" t="s">
        <v>169</v>
      </c>
    </row>
    <row r="141" spans="2:8" x14ac:dyDescent="0.25">
      <c r="B141" s="827" t="s">
        <v>170</v>
      </c>
      <c r="C141" s="828"/>
      <c r="D141" s="706"/>
      <c r="E141" s="706"/>
      <c r="F141" s="707"/>
      <c r="G141" s="714">
        <f>IFERROR(G140/G137,0)</f>
        <v>167.39421338155512</v>
      </c>
      <c r="H141" s="709" t="s">
        <v>148</v>
      </c>
    </row>
    <row r="142" spans="2:8" x14ac:dyDescent="0.25">
      <c r="B142" s="836" t="s">
        <v>171</v>
      </c>
      <c r="C142" s="837"/>
      <c r="D142" s="358"/>
      <c r="E142" s="358"/>
      <c r="F142" s="359"/>
      <c r="G142" s="360">
        <f>IFERROR(G140/G136,0)</f>
        <v>555.41399999999999</v>
      </c>
      <c r="H142" s="361" t="s">
        <v>148</v>
      </c>
    </row>
    <row r="143" spans="2:8" x14ac:dyDescent="0.25">
      <c r="B143" s="827" t="s">
        <v>171</v>
      </c>
      <c r="C143" s="828"/>
      <c r="D143" s="706"/>
      <c r="E143" s="706"/>
      <c r="F143" s="707"/>
      <c r="G143" s="714">
        <f>G142/3.6</f>
        <v>154.28166666666667</v>
      </c>
      <c r="H143" s="709" t="s">
        <v>172</v>
      </c>
    </row>
    <row r="146" spans="2:8" ht="26.4" x14ac:dyDescent="0.25">
      <c r="B146" s="831">
        <v>5</v>
      </c>
      <c r="C146" s="726" t="s">
        <v>131</v>
      </c>
      <c r="D146" s="727" t="s">
        <v>132</v>
      </c>
    </row>
    <row r="147" spans="2:8" x14ac:dyDescent="0.25">
      <c r="B147" s="832"/>
      <c r="C147" s="728" t="s">
        <v>124</v>
      </c>
      <c r="D147" s="697">
        <v>20</v>
      </c>
    </row>
    <row r="148" spans="2:8" x14ac:dyDescent="0.25">
      <c r="B148" s="356"/>
      <c r="C148" s="356"/>
      <c r="D148" s="356"/>
    </row>
    <row r="149" spans="2:8" ht="45" customHeight="1" x14ac:dyDescent="0.25">
      <c r="B149" s="732" t="s">
        <v>141</v>
      </c>
      <c r="C149" s="733" t="s">
        <v>142</v>
      </c>
      <c r="D149" s="833" t="s">
        <v>143</v>
      </c>
      <c r="E149" s="833"/>
      <c r="F149" s="833"/>
      <c r="G149" s="834" t="s">
        <v>144</v>
      </c>
      <c r="H149" s="834"/>
    </row>
    <row r="150" spans="2:8" ht="64.95" customHeight="1" x14ac:dyDescent="0.25">
      <c r="B150" s="700" t="s">
        <v>145</v>
      </c>
      <c r="C150" s="701" t="s">
        <v>146</v>
      </c>
      <c r="D150" s="835" t="s">
        <v>147</v>
      </c>
      <c r="E150" s="835"/>
      <c r="F150" s="835"/>
      <c r="G150" s="702" cm="1">
        <f t="array" ref="G150">IFERROR(_xlfn.IFS($C150=Biblioteca.Minergie.Paquetes[[#Headers],[Biblioteca.Minergie.Paquetes]],VLOOKUP(D150,Tabla2[#All],2,0),$C150=Biblioteca.Personal.Paquetes[[#Headers],[Biblioteca.Personal.Paquetes]],VLOOKUP(D150,Tabla510[#All],2,0)),0)</f>
        <v>211</v>
      </c>
      <c r="H150" s="703" t="s">
        <v>148</v>
      </c>
    </row>
    <row r="151" spans="2:8" ht="64.95" customHeight="1" x14ac:dyDescent="0.25">
      <c r="B151" s="700" t="s">
        <v>149</v>
      </c>
      <c r="C151" s="701" t="s">
        <v>146</v>
      </c>
      <c r="D151" s="835" t="s">
        <v>173</v>
      </c>
      <c r="E151" s="835"/>
      <c r="F151" s="835"/>
      <c r="G151" s="702" cm="1">
        <f t="array" ref="G151">IFERROR(_xlfn.IFS($C151=Biblioteca.Minergie.Paquetes[[#Headers],[Biblioteca.Minergie.Paquetes]],VLOOKUP(D151,Tabla2[#All],2,0),$C151=Biblioteca.Personal.Paquetes[[#Headers],[Biblioteca.Personal.Paquetes]],VLOOKUP(D151,Tabla510[#All],2,0)),0)</f>
        <v>2.5</v>
      </c>
      <c r="H151" s="703" t="s">
        <v>148</v>
      </c>
    </row>
    <row r="152" spans="2:8" ht="64.95" customHeight="1" x14ac:dyDescent="0.25">
      <c r="B152" s="700" t="s">
        <v>151</v>
      </c>
      <c r="C152" s="701" t="s">
        <v>146</v>
      </c>
      <c r="D152" s="835" t="s">
        <v>152</v>
      </c>
      <c r="E152" s="835"/>
      <c r="F152" s="835"/>
      <c r="G152" s="702" cm="1">
        <f t="array" ref="G152">IFERROR(_xlfn.IFS($C152=Biblioteca.Minergie.Paquetes[[#Headers],[Biblioteca.Minergie.Paquetes]],VLOOKUP(D152,Tabla2[#All],2,0),$C152=Biblioteca.Personal.Paquetes[[#Headers],[Biblioteca.Personal.Paquetes]],VLOOKUP(D152,Tabla510[#All],2,0)),0)</f>
        <v>351</v>
      </c>
      <c r="H152" s="703" t="s">
        <v>148</v>
      </c>
    </row>
    <row r="153" spans="2:8" ht="64.95" customHeight="1" x14ac:dyDescent="0.25">
      <c r="B153" s="710" t="s">
        <v>153</v>
      </c>
      <c r="C153" s="701" t="s">
        <v>146</v>
      </c>
      <c r="D153" s="835" t="s">
        <v>174</v>
      </c>
      <c r="E153" s="835"/>
      <c r="F153" s="835"/>
      <c r="G153" s="702" cm="1">
        <f t="array" ref="G153">IFERROR(_xlfn.IFS($C153=Biblioteca.Minergie.Paquetes[[#Headers],[Biblioteca.Minergie.Paquetes]],VLOOKUP(D153,Tabla2[#All],2,0),$C153=Biblioteca.Personal.Paquetes[[#Headers],[Biblioteca.Personal.Paquetes]],VLOOKUP(D153,Tabla510[#All],2,0)),0)</f>
        <v>23</v>
      </c>
      <c r="H153" s="703" t="s">
        <v>148</v>
      </c>
    </row>
    <row r="154" spans="2:8" ht="23.4" customHeight="1" x14ac:dyDescent="0.25">
      <c r="B154" s="838" t="s">
        <v>155</v>
      </c>
      <c r="C154" s="838"/>
      <c r="D154" s="838"/>
      <c r="E154" s="838"/>
      <c r="F154" s="838"/>
    </row>
    <row r="156" spans="2:8" x14ac:dyDescent="0.25">
      <c r="B156" s="734" t="s">
        <v>156</v>
      </c>
      <c r="C156" s="734"/>
      <c r="D156" s="734"/>
      <c r="E156" s="704"/>
      <c r="F156" s="705"/>
      <c r="G156" s="704"/>
      <c r="H156" s="705"/>
    </row>
    <row r="157" spans="2:8" x14ac:dyDescent="0.25">
      <c r="B157" s="827" t="s">
        <v>157</v>
      </c>
      <c r="C157" s="828"/>
      <c r="D157" s="706"/>
      <c r="E157" s="706"/>
      <c r="F157" s="707"/>
      <c r="G157" s="708">
        <f>D147</f>
        <v>20</v>
      </c>
      <c r="H157" s="709" t="s">
        <v>4</v>
      </c>
    </row>
    <row r="158" spans="2:8" x14ac:dyDescent="0.25">
      <c r="B158" s="827" t="s">
        <v>159</v>
      </c>
      <c r="C158" s="828"/>
      <c r="D158" s="706"/>
      <c r="E158" s="706"/>
      <c r="F158" s="707"/>
      <c r="G158" s="708">
        <f>D147</f>
        <v>20</v>
      </c>
      <c r="H158" s="709" t="s">
        <v>4</v>
      </c>
    </row>
    <row r="159" spans="2:8" ht="16.2" customHeight="1" x14ac:dyDescent="0.25">
      <c r="B159" s="829" t="s">
        <v>160</v>
      </c>
      <c r="C159" s="830"/>
      <c r="D159" s="711"/>
      <c r="E159" s="706"/>
      <c r="F159" s="707"/>
      <c r="G159" s="712">
        <f>C11-E11-F11</f>
        <v>16.100000000000001</v>
      </c>
      <c r="H159" s="709" t="s">
        <v>4</v>
      </c>
    </row>
    <row r="160" spans="2:8" x14ac:dyDescent="0.25">
      <c r="B160" s="827" t="s">
        <v>162</v>
      </c>
      <c r="C160" s="828"/>
      <c r="D160" s="706"/>
      <c r="E160" s="706"/>
      <c r="F160" s="707"/>
      <c r="G160" s="712">
        <f>VLOOKUP(C147,Tabla611[#All],3,FALSE)-G11</f>
        <v>9.1999999999999993</v>
      </c>
      <c r="H160" s="709" t="s">
        <v>4</v>
      </c>
    </row>
    <row r="161" spans="2:8" x14ac:dyDescent="0.25">
      <c r="B161" s="827" t="s">
        <v>164</v>
      </c>
      <c r="C161" s="828"/>
      <c r="D161" s="706"/>
      <c r="E161" s="706"/>
      <c r="F161" s="707"/>
      <c r="G161" s="708">
        <f>D147</f>
        <v>20</v>
      </c>
      <c r="H161" s="709" t="s">
        <v>4</v>
      </c>
    </row>
    <row r="162" spans="2:8" x14ac:dyDescent="0.25">
      <c r="B162" s="827" t="s">
        <v>165</v>
      </c>
      <c r="C162" s="828"/>
      <c r="D162" s="706"/>
      <c r="E162" s="706"/>
      <c r="F162" s="707"/>
      <c r="G162" s="713">
        <f>G157+G158+G159+G160</f>
        <v>65.3</v>
      </c>
      <c r="H162" s="709" t="s">
        <v>4</v>
      </c>
    </row>
    <row r="164" spans="2:8" x14ac:dyDescent="0.25">
      <c r="B164" s="734" t="s">
        <v>167</v>
      </c>
      <c r="C164" s="734"/>
      <c r="D164" s="734"/>
      <c r="E164" s="704"/>
      <c r="F164" s="705"/>
      <c r="G164" s="704"/>
      <c r="H164" s="705"/>
    </row>
    <row r="165" spans="2:8" x14ac:dyDescent="0.25">
      <c r="B165" s="827" t="s">
        <v>168</v>
      </c>
      <c r="C165" s="828"/>
      <c r="D165" s="706"/>
      <c r="E165" s="706"/>
      <c r="F165" s="707"/>
      <c r="G165" s="708">
        <f>G157*G150+G158*G151+G159*G152+G160*G153</f>
        <v>10132.700000000001</v>
      </c>
      <c r="H165" s="709" t="s">
        <v>169</v>
      </c>
    </row>
    <row r="166" spans="2:8" x14ac:dyDescent="0.25">
      <c r="B166" s="827" t="s">
        <v>170</v>
      </c>
      <c r="C166" s="828"/>
      <c r="D166" s="706"/>
      <c r="E166" s="706"/>
      <c r="F166" s="707"/>
      <c r="G166" s="714">
        <f>IFERROR(G165/G162,0)</f>
        <v>155.17151607963248</v>
      </c>
      <c r="H166" s="709" t="s">
        <v>148</v>
      </c>
    </row>
    <row r="167" spans="2:8" x14ac:dyDescent="0.25">
      <c r="B167" s="836" t="s">
        <v>171</v>
      </c>
      <c r="C167" s="837"/>
      <c r="D167" s="358"/>
      <c r="E167" s="358"/>
      <c r="F167" s="359"/>
      <c r="G167" s="360">
        <f>IFERROR(G165/G161,0)</f>
        <v>506.63500000000005</v>
      </c>
      <c r="H167" s="361" t="s">
        <v>148</v>
      </c>
    </row>
    <row r="168" spans="2:8" x14ac:dyDescent="0.25">
      <c r="B168" s="827" t="s">
        <v>171</v>
      </c>
      <c r="C168" s="828"/>
      <c r="D168" s="706"/>
      <c r="E168" s="706"/>
      <c r="F168" s="707"/>
      <c r="G168" s="714">
        <f>G167/3.6</f>
        <v>140.73194444444445</v>
      </c>
      <c r="H168" s="709" t="s">
        <v>172</v>
      </c>
    </row>
    <row r="171" spans="2:8" ht="26.4" x14ac:dyDescent="0.25">
      <c r="B171" s="831">
        <v>6</v>
      </c>
      <c r="C171" s="726" t="s">
        <v>131</v>
      </c>
      <c r="D171" s="727" t="s">
        <v>132</v>
      </c>
    </row>
    <row r="172" spans="2:8" x14ac:dyDescent="0.25">
      <c r="B172" s="832"/>
      <c r="C172" s="728"/>
      <c r="D172" s="697"/>
    </row>
    <row r="173" spans="2:8" x14ac:dyDescent="0.25">
      <c r="B173" s="356"/>
      <c r="C173" s="356"/>
      <c r="D173" s="356"/>
    </row>
    <row r="174" spans="2:8" ht="45" customHeight="1" x14ac:dyDescent="0.25">
      <c r="B174" s="732" t="s">
        <v>141</v>
      </c>
      <c r="C174" s="733" t="s">
        <v>142</v>
      </c>
      <c r="D174" s="833" t="s">
        <v>143</v>
      </c>
      <c r="E174" s="833"/>
      <c r="F174" s="833"/>
      <c r="G174" s="834" t="s">
        <v>144</v>
      </c>
      <c r="H174" s="834"/>
    </row>
    <row r="175" spans="2:8" ht="64.95" customHeight="1" x14ac:dyDescent="0.25">
      <c r="B175" s="700" t="s">
        <v>145</v>
      </c>
      <c r="C175" s="701"/>
      <c r="D175" s="835"/>
      <c r="E175" s="835"/>
      <c r="F175" s="835"/>
      <c r="G175" s="702" cm="1">
        <f t="array" ref="G175">IFERROR(_xlfn.IFS($C175=Biblioteca.Minergie.Paquetes[[#Headers],[Biblioteca.Minergie.Paquetes]],VLOOKUP(D175,Tabla2[#All],2,0),$C175=Biblioteca.Personal.Paquetes[[#Headers],[Biblioteca.Personal.Paquetes]],VLOOKUP(D175,Tabla510[#All],2,0)),0)</f>
        <v>0</v>
      </c>
      <c r="H175" s="703" t="s">
        <v>148</v>
      </c>
    </row>
    <row r="176" spans="2:8" ht="64.95" customHeight="1" x14ac:dyDescent="0.25">
      <c r="B176" s="700" t="s">
        <v>149</v>
      </c>
      <c r="C176" s="701"/>
      <c r="D176" s="835"/>
      <c r="E176" s="835"/>
      <c r="F176" s="835"/>
      <c r="G176" s="702" cm="1">
        <f t="array" ref="G176">IFERROR(_xlfn.IFS($C176=Biblioteca.Minergie.Paquetes[[#Headers],[Biblioteca.Minergie.Paquetes]],VLOOKUP(D176,Tabla2[#All],2,0),$C176=Biblioteca.Personal.Paquetes[[#Headers],[Biblioteca.Personal.Paquetes]],VLOOKUP(D176,Tabla510[#All],2,0)),0)</f>
        <v>0</v>
      </c>
      <c r="H176" s="703" t="s">
        <v>148</v>
      </c>
    </row>
    <row r="177" spans="2:8" ht="64.95" customHeight="1" x14ac:dyDescent="0.25">
      <c r="B177" s="700" t="s">
        <v>151</v>
      </c>
      <c r="C177" s="701"/>
      <c r="D177" s="835"/>
      <c r="E177" s="835"/>
      <c r="F177" s="835"/>
      <c r="G177" s="702" cm="1">
        <f t="array" ref="G177">IFERROR(_xlfn.IFS($C177=Biblioteca.Minergie.Paquetes[[#Headers],[Biblioteca.Minergie.Paquetes]],VLOOKUP(D177,Tabla2[#All],2,0),$C177=Biblioteca.Personal.Paquetes[[#Headers],[Biblioteca.Personal.Paquetes]],VLOOKUP(D177,Tabla510[#All],2,0)),0)</f>
        <v>0</v>
      </c>
      <c r="H177" s="703" t="s">
        <v>148</v>
      </c>
    </row>
    <row r="178" spans="2:8" ht="64.95" customHeight="1" x14ac:dyDescent="0.25">
      <c r="B178" s="710" t="s">
        <v>153</v>
      </c>
      <c r="C178" s="701"/>
      <c r="D178" s="835"/>
      <c r="E178" s="835"/>
      <c r="F178" s="835"/>
      <c r="G178" s="702" cm="1">
        <f t="array" ref="G178">IFERROR(_xlfn.IFS($C178=Biblioteca.Minergie.Paquetes[[#Headers],[Biblioteca.Minergie.Paquetes]],VLOOKUP(D178,Tabla2[#All],2,0),$C178=Biblioteca.Personal.Paquetes[[#Headers],[Biblioteca.Personal.Paquetes]],VLOOKUP(D178,Tabla510[#All],2,0)),0)</f>
        <v>0</v>
      </c>
      <c r="H178" s="703" t="s">
        <v>148</v>
      </c>
    </row>
    <row r="179" spans="2:8" ht="27.6" customHeight="1" x14ac:dyDescent="0.25">
      <c r="B179" s="838" t="s">
        <v>155</v>
      </c>
      <c r="C179" s="838"/>
      <c r="D179" s="838"/>
      <c r="E179" s="838"/>
      <c r="F179" s="838"/>
    </row>
    <row r="181" spans="2:8" x14ac:dyDescent="0.25">
      <c r="B181" s="734" t="s">
        <v>156</v>
      </c>
      <c r="C181" s="734"/>
      <c r="D181" s="734"/>
      <c r="E181" s="704"/>
      <c r="F181" s="705"/>
      <c r="G181" s="704"/>
      <c r="H181" s="705"/>
    </row>
    <row r="182" spans="2:8" x14ac:dyDescent="0.25">
      <c r="B182" s="827" t="s">
        <v>157</v>
      </c>
      <c r="C182" s="828"/>
      <c r="D182" s="706"/>
      <c r="E182" s="706"/>
      <c r="F182" s="707"/>
      <c r="G182" s="708">
        <f>D172</f>
        <v>0</v>
      </c>
      <c r="H182" s="709" t="s">
        <v>4</v>
      </c>
    </row>
    <row r="183" spans="2:8" x14ac:dyDescent="0.25">
      <c r="B183" s="827" t="s">
        <v>159</v>
      </c>
      <c r="C183" s="828"/>
      <c r="D183" s="706"/>
      <c r="E183" s="706"/>
      <c r="F183" s="707"/>
      <c r="G183" s="708">
        <f>D172</f>
        <v>0</v>
      </c>
      <c r="H183" s="709" t="s">
        <v>4</v>
      </c>
    </row>
    <row r="184" spans="2:8" x14ac:dyDescent="0.25">
      <c r="B184" s="829" t="s">
        <v>160</v>
      </c>
      <c r="C184" s="830"/>
      <c r="D184" s="711"/>
      <c r="E184" s="706"/>
      <c r="F184" s="707"/>
      <c r="G184" s="712">
        <f>C12-E12-F12</f>
        <v>0</v>
      </c>
      <c r="H184" s="709" t="s">
        <v>4</v>
      </c>
    </row>
    <row r="185" spans="2:8" x14ac:dyDescent="0.25">
      <c r="B185" s="827" t="s">
        <v>162</v>
      </c>
      <c r="C185" s="828"/>
      <c r="D185" s="706"/>
      <c r="E185" s="706"/>
      <c r="F185" s="707"/>
      <c r="G185" s="712">
        <f>IFERROR(VLOOKUP(C172,Tabla611[#All],3,FALSE),0)-G12</f>
        <v>0</v>
      </c>
      <c r="H185" s="709" t="s">
        <v>4</v>
      </c>
    </row>
    <row r="186" spans="2:8" x14ac:dyDescent="0.25">
      <c r="B186" s="827" t="s">
        <v>164</v>
      </c>
      <c r="C186" s="828"/>
      <c r="D186" s="706"/>
      <c r="E186" s="706"/>
      <c r="F186" s="707"/>
      <c r="G186" s="708">
        <f>D172</f>
        <v>0</v>
      </c>
      <c r="H186" s="709" t="s">
        <v>4</v>
      </c>
    </row>
    <row r="187" spans="2:8" x14ac:dyDescent="0.25">
      <c r="B187" s="827" t="s">
        <v>165</v>
      </c>
      <c r="C187" s="828"/>
      <c r="D187" s="706"/>
      <c r="E187" s="706"/>
      <c r="F187" s="707"/>
      <c r="G187" s="713">
        <f>G182+G183+G184+G185</f>
        <v>0</v>
      </c>
      <c r="H187" s="709" t="s">
        <v>4</v>
      </c>
    </row>
    <row r="189" spans="2:8" x14ac:dyDescent="0.25">
      <c r="B189" s="734" t="s">
        <v>167</v>
      </c>
      <c r="C189" s="734"/>
      <c r="D189" s="734"/>
      <c r="E189" s="704"/>
      <c r="F189" s="705"/>
      <c r="G189" s="704"/>
      <c r="H189" s="705"/>
    </row>
    <row r="190" spans="2:8" x14ac:dyDescent="0.25">
      <c r="B190" s="827" t="s">
        <v>168</v>
      </c>
      <c r="C190" s="828"/>
      <c r="D190" s="706"/>
      <c r="E190" s="706"/>
      <c r="F190" s="707"/>
      <c r="G190" s="708">
        <f>G182*G175+G183*G176+G184*G177+G185*G178</f>
        <v>0</v>
      </c>
      <c r="H190" s="709" t="s">
        <v>169</v>
      </c>
    </row>
    <row r="191" spans="2:8" x14ac:dyDescent="0.25">
      <c r="B191" s="827" t="s">
        <v>170</v>
      </c>
      <c r="C191" s="828"/>
      <c r="D191" s="706"/>
      <c r="E191" s="706"/>
      <c r="F191" s="707"/>
      <c r="G191" s="714">
        <f>IFERROR(G190/G187,0)</f>
        <v>0</v>
      </c>
      <c r="H191" s="709" t="s">
        <v>148</v>
      </c>
    </row>
    <row r="192" spans="2:8" x14ac:dyDescent="0.25">
      <c r="B192" s="836" t="s">
        <v>171</v>
      </c>
      <c r="C192" s="837"/>
      <c r="D192" s="358"/>
      <c r="E192" s="358"/>
      <c r="F192" s="359"/>
      <c r="G192" s="360">
        <f>IFERROR(G190/G186,0)</f>
        <v>0</v>
      </c>
      <c r="H192" s="361" t="s">
        <v>148</v>
      </c>
    </row>
    <row r="193" spans="2:8" x14ac:dyDescent="0.25">
      <c r="B193" s="827" t="s">
        <v>171</v>
      </c>
      <c r="C193" s="828"/>
      <c r="D193" s="706"/>
      <c r="E193" s="706"/>
      <c r="F193" s="707"/>
      <c r="G193" s="714">
        <f>G192/3.6</f>
        <v>0</v>
      </c>
      <c r="H193" s="709" t="s">
        <v>172</v>
      </c>
    </row>
    <row r="196" spans="2:8" ht="26.4" x14ac:dyDescent="0.25">
      <c r="B196" s="831">
        <v>7</v>
      </c>
      <c r="C196" s="726" t="s">
        <v>131</v>
      </c>
      <c r="D196" s="727" t="s">
        <v>132</v>
      </c>
    </row>
    <row r="197" spans="2:8" x14ac:dyDescent="0.25">
      <c r="B197" s="832"/>
      <c r="C197" s="728"/>
      <c r="D197" s="697"/>
    </row>
    <row r="198" spans="2:8" x14ac:dyDescent="0.25">
      <c r="B198" s="356"/>
      <c r="C198" s="356"/>
      <c r="D198" s="356"/>
    </row>
    <row r="199" spans="2:8" ht="45" customHeight="1" x14ac:dyDescent="0.25">
      <c r="B199" s="732" t="s">
        <v>141</v>
      </c>
      <c r="C199" s="733" t="s">
        <v>142</v>
      </c>
      <c r="D199" s="833" t="s">
        <v>143</v>
      </c>
      <c r="E199" s="833"/>
      <c r="F199" s="833"/>
      <c r="G199" s="834" t="s">
        <v>144</v>
      </c>
      <c r="H199" s="834"/>
    </row>
    <row r="200" spans="2:8" ht="64.95" customHeight="1" x14ac:dyDescent="0.25">
      <c r="B200" s="700" t="s">
        <v>145</v>
      </c>
      <c r="C200" s="701"/>
      <c r="D200" s="835"/>
      <c r="E200" s="835"/>
      <c r="F200" s="835"/>
      <c r="G200" s="702" cm="1">
        <f t="array" ref="G200">IFERROR(_xlfn.IFS($C200=Biblioteca.Minergie.Paquetes[[#Headers],[Biblioteca.Minergie.Paquetes]],VLOOKUP(D200,Tabla2[#All],2,0),$C200=Biblioteca.Personal.Paquetes[[#Headers],[Biblioteca.Personal.Paquetes]],VLOOKUP(D200,Tabla510[#All],2,0)),0)</f>
        <v>0</v>
      </c>
      <c r="H200" s="703" t="s">
        <v>148</v>
      </c>
    </row>
    <row r="201" spans="2:8" ht="64.95" customHeight="1" x14ac:dyDescent="0.25">
      <c r="B201" s="700" t="s">
        <v>149</v>
      </c>
      <c r="C201" s="701"/>
      <c r="D201" s="835"/>
      <c r="E201" s="835"/>
      <c r="F201" s="835"/>
      <c r="G201" s="702" cm="1">
        <f t="array" ref="G201">IFERROR(_xlfn.IFS($C201=Biblioteca.Minergie.Paquetes[[#Headers],[Biblioteca.Minergie.Paquetes]],VLOOKUP(D201,Tabla2[#All],2,0),$C201=Biblioteca.Personal.Paquetes[[#Headers],[Biblioteca.Personal.Paquetes]],VLOOKUP(D201,Tabla510[#All],2,0)),0)</f>
        <v>0</v>
      </c>
      <c r="H201" s="703" t="s">
        <v>148</v>
      </c>
    </row>
    <row r="202" spans="2:8" ht="64.95" customHeight="1" x14ac:dyDescent="0.25">
      <c r="B202" s="700" t="s">
        <v>151</v>
      </c>
      <c r="C202" s="701"/>
      <c r="D202" s="835"/>
      <c r="E202" s="835"/>
      <c r="F202" s="835"/>
      <c r="G202" s="702" cm="1">
        <f t="array" ref="G202">IFERROR(_xlfn.IFS($C202=Biblioteca.Minergie.Paquetes[[#Headers],[Biblioteca.Minergie.Paquetes]],VLOOKUP(D202,Tabla2[#All],2,0),$C202=Biblioteca.Personal.Paquetes[[#Headers],[Biblioteca.Personal.Paquetes]],VLOOKUP(D202,Tabla510[#All],2,0)),0)</f>
        <v>0</v>
      </c>
      <c r="H202" s="703" t="s">
        <v>148</v>
      </c>
    </row>
    <row r="203" spans="2:8" ht="64.95" customHeight="1" x14ac:dyDescent="0.25">
      <c r="B203" s="710" t="s">
        <v>153</v>
      </c>
      <c r="C203" s="701"/>
      <c r="D203" s="835"/>
      <c r="E203" s="835"/>
      <c r="F203" s="835"/>
      <c r="G203" s="702" cm="1">
        <f t="array" ref="G203">IFERROR(_xlfn.IFS($C203=Biblioteca.Minergie.Paquetes[[#Headers],[Biblioteca.Minergie.Paquetes]],VLOOKUP(D203,Tabla2[#All],2,0),$C203=Biblioteca.Personal.Paquetes[[#Headers],[Biblioteca.Personal.Paquetes]],VLOOKUP(D203,Tabla510[#All],2,0)),0)</f>
        <v>0</v>
      </c>
      <c r="H203" s="703" t="s">
        <v>148</v>
      </c>
    </row>
    <row r="204" spans="2:8" ht="27" customHeight="1" x14ac:dyDescent="0.25">
      <c r="B204" s="838" t="s">
        <v>155</v>
      </c>
      <c r="C204" s="838"/>
      <c r="D204" s="838"/>
      <c r="E204" s="838"/>
      <c r="F204" s="838"/>
    </row>
    <row r="206" spans="2:8" x14ac:dyDescent="0.25">
      <c r="B206" s="734" t="s">
        <v>156</v>
      </c>
      <c r="C206" s="734"/>
      <c r="D206" s="734"/>
      <c r="E206" s="704"/>
      <c r="F206" s="705"/>
      <c r="G206" s="704"/>
      <c r="H206" s="705"/>
    </row>
    <row r="207" spans="2:8" x14ac:dyDescent="0.25">
      <c r="B207" s="827" t="s">
        <v>157</v>
      </c>
      <c r="C207" s="828"/>
      <c r="D207" s="706"/>
      <c r="E207" s="706"/>
      <c r="F207" s="707"/>
      <c r="G207" s="708">
        <f>D197</f>
        <v>0</v>
      </c>
      <c r="H207" s="709" t="s">
        <v>4</v>
      </c>
    </row>
    <row r="208" spans="2:8" x14ac:dyDescent="0.25">
      <c r="B208" s="827" t="s">
        <v>159</v>
      </c>
      <c r="C208" s="828"/>
      <c r="D208" s="706"/>
      <c r="E208" s="706"/>
      <c r="F208" s="707"/>
      <c r="G208" s="708">
        <f>D197</f>
        <v>0</v>
      </c>
      <c r="H208" s="709" t="s">
        <v>4</v>
      </c>
    </row>
    <row r="209" spans="2:8" x14ac:dyDescent="0.25">
      <c r="B209" s="829" t="s">
        <v>160</v>
      </c>
      <c r="C209" s="830"/>
      <c r="D209" s="711"/>
      <c r="E209" s="706"/>
      <c r="F209" s="707"/>
      <c r="G209" s="712">
        <f>C13-E13-F13</f>
        <v>0</v>
      </c>
      <c r="H209" s="709" t="s">
        <v>4</v>
      </c>
    </row>
    <row r="210" spans="2:8" x14ac:dyDescent="0.25">
      <c r="B210" s="827" t="s">
        <v>162</v>
      </c>
      <c r="C210" s="828"/>
      <c r="D210" s="706"/>
      <c r="E210" s="706"/>
      <c r="F210" s="707"/>
      <c r="G210" s="712">
        <f>IFERROR(VLOOKUP(C197,Tabla611[#All],3,FALSE),0)-G13</f>
        <v>0</v>
      </c>
      <c r="H210" s="709" t="s">
        <v>4</v>
      </c>
    </row>
    <row r="211" spans="2:8" x14ac:dyDescent="0.25">
      <c r="B211" s="827" t="s">
        <v>164</v>
      </c>
      <c r="C211" s="828"/>
      <c r="D211" s="706"/>
      <c r="E211" s="706"/>
      <c r="F211" s="707"/>
      <c r="G211" s="708">
        <f>D197</f>
        <v>0</v>
      </c>
      <c r="H211" s="709" t="s">
        <v>4</v>
      </c>
    </row>
    <row r="212" spans="2:8" x14ac:dyDescent="0.25">
      <c r="B212" s="827" t="s">
        <v>165</v>
      </c>
      <c r="C212" s="828"/>
      <c r="D212" s="706"/>
      <c r="E212" s="706"/>
      <c r="F212" s="707"/>
      <c r="G212" s="713">
        <f>G207+G208+G209+G210</f>
        <v>0</v>
      </c>
      <c r="H212" s="709" t="s">
        <v>4</v>
      </c>
    </row>
    <row r="214" spans="2:8" x14ac:dyDescent="0.25">
      <c r="B214" s="734" t="s">
        <v>167</v>
      </c>
      <c r="C214" s="734"/>
      <c r="D214" s="734"/>
      <c r="E214" s="704"/>
      <c r="F214" s="705"/>
      <c r="G214" s="704"/>
      <c r="H214" s="705"/>
    </row>
    <row r="215" spans="2:8" x14ac:dyDescent="0.25">
      <c r="B215" s="827" t="s">
        <v>168</v>
      </c>
      <c r="C215" s="828"/>
      <c r="D215" s="706"/>
      <c r="E215" s="706"/>
      <c r="F215" s="707"/>
      <c r="G215" s="708">
        <f>G207*G200+G208*G201+G209*G202+G210*G203</f>
        <v>0</v>
      </c>
      <c r="H215" s="709" t="s">
        <v>169</v>
      </c>
    </row>
    <row r="216" spans="2:8" x14ac:dyDescent="0.25">
      <c r="B216" s="827" t="s">
        <v>170</v>
      </c>
      <c r="C216" s="828"/>
      <c r="D216" s="706"/>
      <c r="E216" s="706"/>
      <c r="F216" s="707"/>
      <c r="G216" s="714">
        <f>IFERROR(G215/G212,0)</f>
        <v>0</v>
      </c>
      <c r="H216" s="709" t="s">
        <v>148</v>
      </c>
    </row>
    <row r="217" spans="2:8" x14ac:dyDescent="0.25">
      <c r="B217" s="836" t="s">
        <v>171</v>
      </c>
      <c r="C217" s="837"/>
      <c r="D217" s="358"/>
      <c r="E217" s="358"/>
      <c r="F217" s="359"/>
      <c r="G217" s="360">
        <f>IFERROR(G215/G211,0)</f>
        <v>0</v>
      </c>
      <c r="H217" s="361" t="s">
        <v>148</v>
      </c>
    </row>
    <row r="218" spans="2:8" x14ac:dyDescent="0.25">
      <c r="B218" s="827" t="s">
        <v>171</v>
      </c>
      <c r="C218" s="828"/>
      <c r="D218" s="706"/>
      <c r="E218" s="706"/>
      <c r="F218" s="707"/>
      <c r="G218" s="714">
        <f>G217/3.6</f>
        <v>0</v>
      </c>
      <c r="H218" s="709" t="s">
        <v>172</v>
      </c>
    </row>
    <row r="221" spans="2:8" ht="26.4" x14ac:dyDescent="0.25">
      <c r="B221" s="831">
        <v>8</v>
      </c>
      <c r="C221" s="726" t="s">
        <v>131</v>
      </c>
      <c r="D221" s="727" t="s">
        <v>132</v>
      </c>
    </row>
    <row r="222" spans="2:8" x14ac:dyDescent="0.25">
      <c r="B222" s="832"/>
      <c r="C222" s="728"/>
      <c r="D222" s="697"/>
    </row>
    <row r="223" spans="2:8" x14ac:dyDescent="0.25">
      <c r="B223" s="356"/>
      <c r="C223" s="356"/>
      <c r="D223" s="356"/>
    </row>
    <row r="224" spans="2:8" ht="45" customHeight="1" x14ac:dyDescent="0.25">
      <c r="B224" s="732" t="s">
        <v>141</v>
      </c>
      <c r="C224" s="733" t="s">
        <v>142</v>
      </c>
      <c r="D224" s="833" t="s">
        <v>143</v>
      </c>
      <c r="E224" s="833"/>
      <c r="F224" s="833"/>
      <c r="G224" s="834" t="s">
        <v>144</v>
      </c>
      <c r="H224" s="834"/>
    </row>
    <row r="225" spans="2:8" ht="64.95" customHeight="1" x14ac:dyDescent="0.25">
      <c r="B225" s="700" t="s">
        <v>145</v>
      </c>
      <c r="C225" s="701"/>
      <c r="D225" s="835"/>
      <c r="E225" s="835"/>
      <c r="F225" s="835"/>
      <c r="G225" s="702" cm="1">
        <f t="array" ref="G225">IFERROR(_xlfn.IFS($C225=Biblioteca.Minergie.Paquetes[[#Headers],[Biblioteca.Minergie.Paquetes]],VLOOKUP(D225,Tabla2[#All],2,0),$C225=Biblioteca.Personal.Paquetes[[#Headers],[Biblioteca.Personal.Paquetes]],VLOOKUP(D225,Tabla510[#All],2,0)),0)</f>
        <v>0</v>
      </c>
      <c r="H225" s="703" t="s">
        <v>148</v>
      </c>
    </row>
    <row r="226" spans="2:8" ht="64.95" customHeight="1" x14ac:dyDescent="0.25">
      <c r="B226" s="700" t="s">
        <v>149</v>
      </c>
      <c r="C226" s="701"/>
      <c r="D226" s="835"/>
      <c r="E226" s="835"/>
      <c r="F226" s="835"/>
      <c r="G226" s="702" cm="1">
        <f t="array" ref="G226">IFERROR(_xlfn.IFS($C226=Biblioteca.Minergie.Paquetes[[#Headers],[Biblioteca.Minergie.Paquetes]],VLOOKUP(D226,Tabla2[#All],2,0),$C226=Biblioteca.Personal.Paquetes[[#Headers],[Biblioteca.Personal.Paquetes]],VLOOKUP(D226,Tabla510[#All],2,0)),0)</f>
        <v>0</v>
      </c>
      <c r="H226" s="703" t="s">
        <v>148</v>
      </c>
    </row>
    <row r="227" spans="2:8" ht="64.95" customHeight="1" x14ac:dyDescent="0.25">
      <c r="B227" s="700" t="s">
        <v>151</v>
      </c>
      <c r="C227" s="701"/>
      <c r="D227" s="835"/>
      <c r="E227" s="835"/>
      <c r="F227" s="835"/>
      <c r="G227" s="702" cm="1">
        <f t="array" ref="G227">IFERROR(_xlfn.IFS($C227=Biblioteca.Minergie.Paquetes[[#Headers],[Biblioteca.Minergie.Paquetes]],VLOOKUP(D227,Tabla2[#All],2,0),$C227=Biblioteca.Personal.Paquetes[[#Headers],[Biblioteca.Personal.Paquetes]],VLOOKUP(D227,Tabla510[#All],2,0)),0)</f>
        <v>0</v>
      </c>
      <c r="H227" s="703" t="s">
        <v>148</v>
      </c>
    </row>
    <row r="228" spans="2:8" ht="64.95" customHeight="1" x14ac:dyDescent="0.25">
      <c r="B228" s="710" t="s">
        <v>153</v>
      </c>
      <c r="C228" s="701"/>
      <c r="D228" s="835"/>
      <c r="E228" s="835"/>
      <c r="F228" s="835"/>
      <c r="G228" s="702" cm="1">
        <f t="array" ref="G228">IFERROR(_xlfn.IFS($C228=Biblioteca.Minergie.Paquetes[[#Headers],[Biblioteca.Minergie.Paquetes]],VLOOKUP(D228,Tabla2[#All],2,0),$C228=Biblioteca.Personal.Paquetes[[#Headers],[Biblioteca.Personal.Paquetes]],VLOOKUP(D228,Tabla510[#All],2,0)),0)</f>
        <v>0</v>
      </c>
      <c r="H228" s="703" t="s">
        <v>148</v>
      </c>
    </row>
    <row r="229" spans="2:8" ht="25.2" customHeight="1" x14ac:dyDescent="0.25">
      <c r="B229" s="838" t="s">
        <v>155</v>
      </c>
      <c r="C229" s="838"/>
      <c r="D229" s="838"/>
      <c r="E229" s="838"/>
      <c r="F229" s="838"/>
    </row>
    <row r="231" spans="2:8" x14ac:dyDescent="0.25">
      <c r="B231" s="734" t="s">
        <v>156</v>
      </c>
      <c r="C231" s="734"/>
      <c r="D231" s="734"/>
      <c r="E231" s="704"/>
      <c r="F231" s="705"/>
      <c r="G231" s="704"/>
      <c r="H231" s="705"/>
    </row>
    <row r="232" spans="2:8" x14ac:dyDescent="0.25">
      <c r="B232" s="827" t="s">
        <v>157</v>
      </c>
      <c r="C232" s="828"/>
      <c r="D232" s="706"/>
      <c r="E232" s="706"/>
      <c r="F232" s="707"/>
      <c r="G232" s="708">
        <f>D222</f>
        <v>0</v>
      </c>
      <c r="H232" s="709" t="s">
        <v>4</v>
      </c>
    </row>
    <row r="233" spans="2:8" x14ac:dyDescent="0.25">
      <c r="B233" s="827" t="s">
        <v>159</v>
      </c>
      <c r="C233" s="828"/>
      <c r="D233" s="706"/>
      <c r="E233" s="706"/>
      <c r="F233" s="707"/>
      <c r="G233" s="708">
        <f>D222</f>
        <v>0</v>
      </c>
      <c r="H233" s="709" t="s">
        <v>4</v>
      </c>
    </row>
    <row r="234" spans="2:8" x14ac:dyDescent="0.25">
      <c r="B234" s="829" t="s">
        <v>160</v>
      </c>
      <c r="C234" s="830"/>
      <c r="D234" s="711"/>
      <c r="E234" s="706"/>
      <c r="F234" s="707"/>
      <c r="G234" s="712">
        <f>C14-E14-F14</f>
        <v>0</v>
      </c>
      <c r="H234" s="709" t="s">
        <v>4</v>
      </c>
    </row>
    <row r="235" spans="2:8" x14ac:dyDescent="0.25">
      <c r="B235" s="827" t="s">
        <v>162</v>
      </c>
      <c r="C235" s="828"/>
      <c r="D235" s="706"/>
      <c r="E235" s="706"/>
      <c r="F235" s="707"/>
      <c r="G235" s="712">
        <f>IFERROR(VLOOKUP(C222,Tabla611[#All],3,FALSE),0)-G14</f>
        <v>0</v>
      </c>
      <c r="H235" s="709" t="s">
        <v>4</v>
      </c>
    </row>
    <row r="236" spans="2:8" x14ac:dyDescent="0.25">
      <c r="B236" s="827" t="s">
        <v>164</v>
      </c>
      <c r="C236" s="828"/>
      <c r="D236" s="706"/>
      <c r="E236" s="706"/>
      <c r="F236" s="707"/>
      <c r="G236" s="708">
        <f>D222</f>
        <v>0</v>
      </c>
      <c r="H236" s="709" t="s">
        <v>4</v>
      </c>
    </row>
    <row r="237" spans="2:8" x14ac:dyDescent="0.25">
      <c r="B237" s="827" t="s">
        <v>165</v>
      </c>
      <c r="C237" s="828"/>
      <c r="D237" s="706"/>
      <c r="E237" s="706"/>
      <c r="F237" s="707"/>
      <c r="G237" s="713">
        <f>G232+G233+G234+G235</f>
        <v>0</v>
      </c>
      <c r="H237" s="709" t="s">
        <v>4</v>
      </c>
    </row>
    <row r="239" spans="2:8" x14ac:dyDescent="0.25">
      <c r="B239" s="734" t="s">
        <v>167</v>
      </c>
      <c r="C239" s="734"/>
      <c r="D239" s="734"/>
      <c r="E239" s="704"/>
      <c r="F239" s="705"/>
      <c r="G239" s="704"/>
      <c r="H239" s="705"/>
    </row>
    <row r="240" spans="2:8" x14ac:dyDescent="0.25">
      <c r="B240" s="827" t="s">
        <v>168</v>
      </c>
      <c r="C240" s="828"/>
      <c r="D240" s="706"/>
      <c r="E240" s="706"/>
      <c r="F240" s="707"/>
      <c r="G240" s="708">
        <f>G232*G225+G233*G226+G234*G227+G235*G228</f>
        <v>0</v>
      </c>
      <c r="H240" s="709" t="s">
        <v>169</v>
      </c>
    </row>
    <row r="241" spans="2:8" x14ac:dyDescent="0.25">
      <c r="B241" s="827" t="s">
        <v>170</v>
      </c>
      <c r="C241" s="828"/>
      <c r="D241" s="706"/>
      <c r="E241" s="706"/>
      <c r="F241" s="707"/>
      <c r="G241" s="714">
        <f>IFERROR(G240/G237,0)</f>
        <v>0</v>
      </c>
      <c r="H241" s="709" t="s">
        <v>148</v>
      </c>
    </row>
    <row r="242" spans="2:8" x14ac:dyDescent="0.25">
      <c r="B242" s="836" t="s">
        <v>171</v>
      </c>
      <c r="C242" s="837"/>
      <c r="D242" s="358"/>
      <c r="E242" s="358"/>
      <c r="F242" s="359"/>
      <c r="G242" s="360">
        <f>IFERROR(G240/G236,0)</f>
        <v>0</v>
      </c>
      <c r="H242" s="361" t="s">
        <v>148</v>
      </c>
    </row>
    <row r="243" spans="2:8" x14ac:dyDescent="0.25">
      <c r="B243" s="827" t="s">
        <v>171</v>
      </c>
      <c r="C243" s="828"/>
      <c r="D243" s="706"/>
      <c r="E243" s="706"/>
      <c r="F243" s="707"/>
      <c r="G243" s="714">
        <f>G242/3.6</f>
        <v>0</v>
      </c>
      <c r="H243" s="709" t="s">
        <v>172</v>
      </c>
    </row>
    <row r="246" spans="2:8" ht="26.4" x14ac:dyDescent="0.25">
      <c r="B246" s="831">
        <v>9</v>
      </c>
      <c r="C246" s="726" t="s">
        <v>131</v>
      </c>
      <c r="D246" s="727" t="s">
        <v>132</v>
      </c>
    </row>
    <row r="247" spans="2:8" x14ac:dyDescent="0.25">
      <c r="B247" s="832"/>
      <c r="C247" s="728"/>
      <c r="D247" s="697"/>
    </row>
    <row r="248" spans="2:8" x14ac:dyDescent="0.25">
      <c r="B248" s="356"/>
      <c r="C248" s="356"/>
      <c r="D248" s="356"/>
    </row>
    <row r="249" spans="2:8" ht="45" customHeight="1" x14ac:dyDescent="0.25">
      <c r="B249" s="732" t="s">
        <v>141</v>
      </c>
      <c r="C249" s="733" t="s">
        <v>142</v>
      </c>
      <c r="D249" s="833" t="s">
        <v>143</v>
      </c>
      <c r="E249" s="833"/>
      <c r="F249" s="833"/>
      <c r="G249" s="834" t="s">
        <v>144</v>
      </c>
      <c r="H249" s="834"/>
    </row>
    <row r="250" spans="2:8" ht="64.95" customHeight="1" x14ac:dyDescent="0.25">
      <c r="B250" s="700" t="s">
        <v>145</v>
      </c>
      <c r="C250" s="701"/>
      <c r="D250" s="835"/>
      <c r="E250" s="835"/>
      <c r="F250" s="835"/>
      <c r="G250" s="702" cm="1">
        <f t="array" ref="G250">IFERROR(_xlfn.IFS($C250=Biblioteca.Minergie.Paquetes[[#Headers],[Biblioteca.Minergie.Paquetes]],VLOOKUP(D250,Tabla2[#All],2,0),$C250=Biblioteca.Personal.Paquetes[[#Headers],[Biblioteca.Personal.Paquetes]],VLOOKUP(D250,Tabla510[#All],2,0)),0)</f>
        <v>0</v>
      </c>
      <c r="H250" s="703" t="s">
        <v>148</v>
      </c>
    </row>
    <row r="251" spans="2:8" ht="64.95" customHeight="1" x14ac:dyDescent="0.25">
      <c r="B251" s="700" t="s">
        <v>149</v>
      </c>
      <c r="C251" s="701"/>
      <c r="D251" s="835"/>
      <c r="E251" s="835"/>
      <c r="F251" s="835"/>
      <c r="G251" s="702" cm="1">
        <f t="array" ref="G251">IFERROR(_xlfn.IFS($C251=Biblioteca.Minergie.Paquetes[[#Headers],[Biblioteca.Minergie.Paquetes]],VLOOKUP(D251,Tabla2[#All],2,0),$C251=Biblioteca.Personal.Paquetes[[#Headers],[Biblioteca.Personal.Paquetes]],VLOOKUP(D251,Tabla510[#All],2,0)),0)</f>
        <v>0</v>
      </c>
      <c r="H251" s="703" t="s">
        <v>148</v>
      </c>
    </row>
    <row r="252" spans="2:8" ht="64.95" customHeight="1" x14ac:dyDescent="0.25">
      <c r="B252" s="700" t="s">
        <v>151</v>
      </c>
      <c r="C252" s="701"/>
      <c r="D252" s="835"/>
      <c r="E252" s="835"/>
      <c r="F252" s="835"/>
      <c r="G252" s="702" cm="1">
        <f t="array" ref="G252">IFERROR(_xlfn.IFS($C252=Biblioteca.Minergie.Paquetes[[#Headers],[Biblioteca.Minergie.Paquetes]],VLOOKUP(D252,Tabla2[#All],2,0),$C252=Biblioteca.Personal.Paquetes[[#Headers],[Biblioteca.Personal.Paquetes]],VLOOKUP(D252,Tabla510[#All],2,0)),0)</f>
        <v>0</v>
      </c>
      <c r="H252" s="703" t="s">
        <v>148</v>
      </c>
    </row>
    <row r="253" spans="2:8" ht="64.95" customHeight="1" x14ac:dyDescent="0.25">
      <c r="B253" s="710" t="s">
        <v>153</v>
      </c>
      <c r="C253" s="701"/>
      <c r="D253" s="835"/>
      <c r="E253" s="835"/>
      <c r="F253" s="835"/>
      <c r="G253" s="702" cm="1">
        <f t="array" ref="G253">IFERROR(_xlfn.IFS($C253=Biblioteca.Minergie.Paquetes[[#Headers],[Biblioteca.Minergie.Paquetes]],VLOOKUP(D253,Tabla2[#All],2,0),$C253=Biblioteca.Personal.Paquetes[[#Headers],[Biblioteca.Personal.Paquetes]],VLOOKUP(D253,Tabla510[#All],2,0)),0)</f>
        <v>0</v>
      </c>
      <c r="H253" s="703" t="s">
        <v>148</v>
      </c>
    </row>
    <row r="254" spans="2:8" ht="27" customHeight="1" x14ac:dyDescent="0.25">
      <c r="B254" s="838" t="s">
        <v>155</v>
      </c>
      <c r="C254" s="838"/>
      <c r="D254" s="838"/>
      <c r="E254" s="838"/>
      <c r="F254" s="838"/>
    </row>
    <row r="256" spans="2:8" x14ac:dyDescent="0.25">
      <c r="B256" s="734" t="s">
        <v>156</v>
      </c>
      <c r="C256" s="734"/>
      <c r="D256" s="734"/>
      <c r="E256" s="704"/>
      <c r="F256" s="705"/>
      <c r="G256" s="704"/>
      <c r="H256" s="705"/>
    </row>
    <row r="257" spans="2:8" x14ac:dyDescent="0.25">
      <c r="B257" s="827" t="s">
        <v>157</v>
      </c>
      <c r="C257" s="828"/>
      <c r="D257" s="706"/>
      <c r="E257" s="706"/>
      <c r="F257" s="707"/>
      <c r="G257" s="708">
        <f>D247</f>
        <v>0</v>
      </c>
      <c r="H257" s="709" t="s">
        <v>4</v>
      </c>
    </row>
    <row r="258" spans="2:8" x14ac:dyDescent="0.25">
      <c r="B258" s="827" t="s">
        <v>159</v>
      </c>
      <c r="C258" s="828"/>
      <c r="D258" s="706"/>
      <c r="E258" s="706"/>
      <c r="F258" s="707"/>
      <c r="G258" s="708">
        <f>D247</f>
        <v>0</v>
      </c>
      <c r="H258" s="709" t="s">
        <v>4</v>
      </c>
    </row>
    <row r="259" spans="2:8" x14ac:dyDescent="0.25">
      <c r="B259" s="829" t="s">
        <v>160</v>
      </c>
      <c r="C259" s="830"/>
      <c r="D259" s="711"/>
      <c r="E259" s="706"/>
      <c r="F259" s="707"/>
      <c r="G259" s="712">
        <f>C15-E15-F15</f>
        <v>0</v>
      </c>
      <c r="H259" s="709" t="s">
        <v>4</v>
      </c>
    </row>
    <row r="260" spans="2:8" x14ac:dyDescent="0.25">
      <c r="B260" s="827" t="s">
        <v>162</v>
      </c>
      <c r="C260" s="828"/>
      <c r="D260" s="706"/>
      <c r="E260" s="706"/>
      <c r="F260" s="707"/>
      <c r="G260" s="712">
        <f>IFERROR(VLOOKUP(C247,Tabla611[#All],3,FALSE),0)-G15</f>
        <v>0</v>
      </c>
      <c r="H260" s="709" t="s">
        <v>4</v>
      </c>
    </row>
    <row r="261" spans="2:8" x14ac:dyDescent="0.25">
      <c r="B261" s="827" t="s">
        <v>164</v>
      </c>
      <c r="C261" s="828"/>
      <c r="D261" s="706"/>
      <c r="E261" s="706"/>
      <c r="F261" s="707"/>
      <c r="G261" s="708">
        <f>D247</f>
        <v>0</v>
      </c>
      <c r="H261" s="709" t="s">
        <v>4</v>
      </c>
    </row>
    <row r="262" spans="2:8" x14ac:dyDescent="0.25">
      <c r="B262" s="827" t="s">
        <v>165</v>
      </c>
      <c r="C262" s="828"/>
      <c r="D262" s="706"/>
      <c r="E262" s="706"/>
      <c r="F262" s="707"/>
      <c r="G262" s="713">
        <f>G257+G258+G259+G260</f>
        <v>0</v>
      </c>
      <c r="H262" s="709" t="s">
        <v>4</v>
      </c>
    </row>
    <row r="264" spans="2:8" x14ac:dyDescent="0.25">
      <c r="B264" s="734" t="s">
        <v>167</v>
      </c>
      <c r="C264" s="734"/>
      <c r="D264" s="734"/>
      <c r="E264" s="704"/>
      <c r="F264" s="705"/>
      <c r="G264" s="704"/>
      <c r="H264" s="705"/>
    </row>
    <row r="265" spans="2:8" x14ac:dyDescent="0.25">
      <c r="B265" s="827" t="s">
        <v>168</v>
      </c>
      <c r="C265" s="828"/>
      <c r="D265" s="706"/>
      <c r="E265" s="706"/>
      <c r="F265" s="707"/>
      <c r="G265" s="708">
        <f>G257*G250+G258*G251+G259*G252+G260*G253</f>
        <v>0</v>
      </c>
      <c r="H265" s="709" t="s">
        <v>169</v>
      </c>
    </row>
    <row r="266" spans="2:8" x14ac:dyDescent="0.25">
      <c r="B266" s="827" t="s">
        <v>170</v>
      </c>
      <c r="C266" s="828"/>
      <c r="D266" s="706"/>
      <c r="E266" s="706"/>
      <c r="F266" s="707"/>
      <c r="G266" s="714">
        <f>IFERROR(G265/G262,0)</f>
        <v>0</v>
      </c>
      <c r="H266" s="709" t="s">
        <v>148</v>
      </c>
    </row>
    <row r="267" spans="2:8" x14ac:dyDescent="0.25">
      <c r="B267" s="836" t="s">
        <v>171</v>
      </c>
      <c r="C267" s="837"/>
      <c r="D267" s="358"/>
      <c r="E267" s="358"/>
      <c r="F267" s="359"/>
      <c r="G267" s="360">
        <f>IFERROR(G265/G261,0)</f>
        <v>0</v>
      </c>
      <c r="H267" s="361" t="s">
        <v>148</v>
      </c>
    </row>
    <row r="268" spans="2:8" x14ac:dyDescent="0.25">
      <c r="B268" s="827" t="s">
        <v>171</v>
      </c>
      <c r="C268" s="828"/>
      <c r="D268" s="706"/>
      <c r="E268" s="706"/>
      <c r="F268" s="707"/>
      <c r="G268" s="714">
        <f>G267/3.6</f>
        <v>0</v>
      </c>
      <c r="H268" s="709" t="s">
        <v>172</v>
      </c>
    </row>
    <row r="271" spans="2:8" ht="26.4" x14ac:dyDescent="0.25">
      <c r="B271" s="831">
        <v>10</v>
      </c>
      <c r="C271" s="726" t="s">
        <v>131</v>
      </c>
      <c r="D271" s="727" t="s">
        <v>132</v>
      </c>
    </row>
    <row r="272" spans="2:8" x14ac:dyDescent="0.25">
      <c r="B272" s="832"/>
      <c r="C272" s="728"/>
      <c r="D272" s="697"/>
    </row>
    <row r="273" spans="2:8" x14ac:dyDescent="0.25">
      <c r="B273" s="356"/>
      <c r="C273" s="356"/>
      <c r="D273" s="356"/>
    </row>
    <row r="274" spans="2:8" ht="45" customHeight="1" x14ac:dyDescent="0.25">
      <c r="B274" s="732" t="s">
        <v>141</v>
      </c>
      <c r="C274" s="733" t="s">
        <v>142</v>
      </c>
      <c r="D274" s="833" t="s">
        <v>143</v>
      </c>
      <c r="E274" s="833"/>
      <c r="F274" s="833"/>
      <c r="G274" s="834" t="s">
        <v>144</v>
      </c>
      <c r="H274" s="834"/>
    </row>
    <row r="275" spans="2:8" ht="64.95" customHeight="1" x14ac:dyDescent="0.25">
      <c r="B275" s="700" t="s">
        <v>145</v>
      </c>
      <c r="C275" s="701"/>
      <c r="D275" s="835"/>
      <c r="E275" s="835"/>
      <c r="F275" s="835"/>
      <c r="G275" s="702" cm="1">
        <f t="array" ref="G275">IFERROR(_xlfn.IFS($C275=Biblioteca.Minergie.Paquetes[[#Headers],[Biblioteca.Minergie.Paquetes]],VLOOKUP(D275,Tabla2[#All],2,0),$C275=Biblioteca.Personal.Paquetes[[#Headers],[Biblioteca.Personal.Paquetes]],VLOOKUP(D275,Tabla510[#All],2,0)),0)</f>
        <v>0</v>
      </c>
      <c r="H275" s="703" t="s">
        <v>148</v>
      </c>
    </row>
    <row r="276" spans="2:8" ht="64.95" customHeight="1" x14ac:dyDescent="0.25">
      <c r="B276" s="700" t="s">
        <v>149</v>
      </c>
      <c r="C276" s="701"/>
      <c r="D276" s="835"/>
      <c r="E276" s="835"/>
      <c r="F276" s="835"/>
      <c r="G276" s="702" cm="1">
        <f t="array" ref="G276">IFERROR(_xlfn.IFS($C276=Biblioteca.Minergie.Paquetes[[#Headers],[Biblioteca.Minergie.Paquetes]],VLOOKUP(D276,Tabla2[#All],2,0),$C276=Biblioteca.Personal.Paquetes[[#Headers],[Biblioteca.Personal.Paquetes]],VLOOKUP(D276,Tabla510[#All],2,0)),0)</f>
        <v>0</v>
      </c>
      <c r="H276" s="703" t="s">
        <v>148</v>
      </c>
    </row>
    <row r="277" spans="2:8" ht="64.95" customHeight="1" x14ac:dyDescent="0.25">
      <c r="B277" s="700" t="s">
        <v>151</v>
      </c>
      <c r="C277" s="701"/>
      <c r="D277" s="835"/>
      <c r="E277" s="835"/>
      <c r="F277" s="835"/>
      <c r="G277" s="702" cm="1">
        <f t="array" ref="G277">IFERROR(_xlfn.IFS($C277=Biblioteca.Minergie.Paquetes[[#Headers],[Biblioteca.Minergie.Paquetes]],VLOOKUP(D277,Tabla2[#All],2,0),$C277=Biblioteca.Personal.Paquetes[[#Headers],[Biblioteca.Personal.Paquetes]],VLOOKUP(D277,Tabla510[#All],2,0)),0)</f>
        <v>0</v>
      </c>
      <c r="H277" s="703" t="s">
        <v>148</v>
      </c>
    </row>
    <row r="278" spans="2:8" ht="64.95" customHeight="1" x14ac:dyDescent="0.25">
      <c r="B278" s="710" t="s">
        <v>153</v>
      </c>
      <c r="C278" s="701"/>
      <c r="D278" s="835"/>
      <c r="E278" s="835"/>
      <c r="F278" s="835"/>
      <c r="G278" s="702" cm="1">
        <f t="array" ref="G278">IFERROR(_xlfn.IFS($C278=Biblioteca.Minergie.Paquetes[[#Headers],[Biblioteca.Minergie.Paquetes]],VLOOKUP(D278,Tabla2[#All],2,0),$C278=Biblioteca.Personal.Paquetes[[#Headers],[Biblioteca.Personal.Paquetes]],VLOOKUP(D278,Tabla510[#All],2,0)),0)</f>
        <v>0</v>
      </c>
      <c r="H278" s="703" t="s">
        <v>148</v>
      </c>
    </row>
    <row r="279" spans="2:8" ht="28.2" customHeight="1" x14ac:dyDescent="0.25">
      <c r="B279" s="838" t="s">
        <v>155</v>
      </c>
      <c r="C279" s="838"/>
      <c r="D279" s="838"/>
      <c r="E279" s="838"/>
      <c r="F279" s="838"/>
    </row>
    <row r="281" spans="2:8" x14ac:dyDescent="0.25">
      <c r="B281" s="734" t="s">
        <v>156</v>
      </c>
      <c r="C281" s="734"/>
      <c r="D281" s="734"/>
      <c r="E281" s="704"/>
      <c r="F281" s="705"/>
      <c r="G281" s="704"/>
      <c r="H281" s="705"/>
    </row>
    <row r="282" spans="2:8" x14ac:dyDescent="0.25">
      <c r="B282" s="827" t="s">
        <v>157</v>
      </c>
      <c r="C282" s="828"/>
      <c r="D282" s="706"/>
      <c r="E282" s="706"/>
      <c r="F282" s="707"/>
      <c r="G282" s="708">
        <f>D272</f>
        <v>0</v>
      </c>
      <c r="H282" s="709" t="s">
        <v>4</v>
      </c>
    </row>
    <row r="283" spans="2:8" x14ac:dyDescent="0.25">
      <c r="B283" s="827" t="s">
        <v>159</v>
      </c>
      <c r="C283" s="828"/>
      <c r="D283" s="706"/>
      <c r="E283" s="706"/>
      <c r="F283" s="707"/>
      <c r="G283" s="708">
        <f>D272</f>
        <v>0</v>
      </c>
      <c r="H283" s="709" t="s">
        <v>4</v>
      </c>
    </row>
    <row r="284" spans="2:8" x14ac:dyDescent="0.25">
      <c r="B284" s="829" t="s">
        <v>160</v>
      </c>
      <c r="C284" s="830"/>
      <c r="D284" s="711"/>
      <c r="E284" s="706"/>
      <c r="F284" s="707"/>
      <c r="G284" s="712">
        <f>C16-E16-F16</f>
        <v>0</v>
      </c>
      <c r="H284" s="709" t="s">
        <v>4</v>
      </c>
    </row>
    <row r="285" spans="2:8" x14ac:dyDescent="0.25">
      <c r="B285" s="827" t="s">
        <v>162</v>
      </c>
      <c r="C285" s="828"/>
      <c r="D285" s="706"/>
      <c r="E285" s="706"/>
      <c r="F285" s="707"/>
      <c r="G285" s="712">
        <f>IFERROR(VLOOKUP(C272,Tabla611[#All],3,FALSE),0)-G16</f>
        <v>0</v>
      </c>
      <c r="H285" s="709" t="s">
        <v>4</v>
      </c>
    </row>
    <row r="286" spans="2:8" x14ac:dyDescent="0.25">
      <c r="B286" s="827" t="s">
        <v>164</v>
      </c>
      <c r="C286" s="828"/>
      <c r="D286" s="706"/>
      <c r="E286" s="706"/>
      <c r="F286" s="707"/>
      <c r="G286" s="708">
        <f>D272</f>
        <v>0</v>
      </c>
      <c r="H286" s="709" t="s">
        <v>4</v>
      </c>
    </row>
    <row r="287" spans="2:8" x14ac:dyDescent="0.25">
      <c r="B287" s="827" t="s">
        <v>165</v>
      </c>
      <c r="C287" s="828"/>
      <c r="D287" s="706"/>
      <c r="E287" s="706"/>
      <c r="F287" s="707"/>
      <c r="G287" s="713">
        <f>G282+G283+G284+G285</f>
        <v>0</v>
      </c>
      <c r="H287" s="709" t="s">
        <v>4</v>
      </c>
    </row>
    <row r="289" spans="2:8" x14ac:dyDescent="0.25">
      <c r="B289" s="734" t="s">
        <v>167</v>
      </c>
      <c r="C289" s="734"/>
      <c r="D289" s="734"/>
      <c r="E289" s="704"/>
      <c r="F289" s="705"/>
      <c r="G289" s="704"/>
      <c r="H289" s="705"/>
    </row>
    <row r="290" spans="2:8" x14ac:dyDescent="0.25">
      <c r="B290" s="827" t="s">
        <v>168</v>
      </c>
      <c r="C290" s="828"/>
      <c r="D290" s="706"/>
      <c r="E290" s="706"/>
      <c r="F290" s="707"/>
      <c r="G290" s="708">
        <f>G282*G275+G283*G276+G284*G277+G285*G278</f>
        <v>0</v>
      </c>
      <c r="H290" s="709" t="s">
        <v>169</v>
      </c>
    </row>
    <row r="291" spans="2:8" x14ac:dyDescent="0.25">
      <c r="B291" s="827" t="s">
        <v>170</v>
      </c>
      <c r="C291" s="828"/>
      <c r="D291" s="706"/>
      <c r="E291" s="706"/>
      <c r="F291" s="707"/>
      <c r="G291" s="714">
        <f>IFERROR(G290/G287,0)</f>
        <v>0</v>
      </c>
      <c r="H291" s="709" t="s">
        <v>148</v>
      </c>
    </row>
    <row r="292" spans="2:8" x14ac:dyDescent="0.25">
      <c r="B292" s="836" t="s">
        <v>171</v>
      </c>
      <c r="C292" s="837"/>
      <c r="D292" s="358"/>
      <c r="E292" s="358"/>
      <c r="F292" s="359"/>
      <c r="G292" s="360">
        <f>IFERROR(G290/G286,0)</f>
        <v>0</v>
      </c>
      <c r="H292" s="361" t="s">
        <v>148</v>
      </c>
    </row>
    <row r="293" spans="2:8" x14ac:dyDescent="0.25">
      <c r="B293" s="827" t="s">
        <v>171</v>
      </c>
      <c r="C293" s="828"/>
      <c r="D293" s="706"/>
      <c r="E293" s="706"/>
      <c r="F293" s="707"/>
      <c r="G293" s="714">
        <f>G292/3.6</f>
        <v>0</v>
      </c>
      <c r="H293" s="709" t="s">
        <v>172</v>
      </c>
    </row>
  </sheetData>
  <sheetProtection algorithmName="SHA-512" hashValue="I0DiXPnw1fNfAMapy8f5z1gbXiY0tuTcSoJP2wsBh4G0F7SxfISCYm5MvpWjguOPvdPUTg9z1Ch2qToQXDxoRg==" saltValue="JAfEGE0PbnihZQ0fOr5yQA==" spinCount="100000" sheet="1" objects="1" scenarios="1"/>
  <mergeCells count="203">
    <mergeCell ref="J48:K48"/>
    <mergeCell ref="J57:K57"/>
    <mergeCell ref="J58:K58"/>
    <mergeCell ref="J60:K60"/>
    <mergeCell ref="J59:L59"/>
    <mergeCell ref="J62:L63"/>
    <mergeCell ref="B193:C193"/>
    <mergeCell ref="B196:B197"/>
    <mergeCell ref="B212:C212"/>
    <mergeCell ref="B207:C207"/>
    <mergeCell ref="B208:C208"/>
    <mergeCell ref="B209:C209"/>
    <mergeCell ref="B211:C211"/>
    <mergeCell ref="D199:F199"/>
    <mergeCell ref="B162:C162"/>
    <mergeCell ref="B166:C166"/>
    <mergeCell ref="B167:C167"/>
    <mergeCell ref="B168:C168"/>
    <mergeCell ref="B171:B172"/>
    <mergeCell ref="D174:F174"/>
    <mergeCell ref="D175:F175"/>
    <mergeCell ref="B165:C165"/>
    <mergeCell ref="B184:C184"/>
    <mergeCell ref="B182:C182"/>
    <mergeCell ref="B183:C183"/>
    <mergeCell ref="B179:F179"/>
    <mergeCell ref="B204:F204"/>
    <mergeCell ref="G149:H149"/>
    <mergeCell ref="B157:C157"/>
    <mergeCell ref="B158:C158"/>
    <mergeCell ref="B159:C159"/>
    <mergeCell ref="B160:C160"/>
    <mergeCell ref="B161:C161"/>
    <mergeCell ref="D150:F150"/>
    <mergeCell ref="D151:F151"/>
    <mergeCell ref="D152:F152"/>
    <mergeCell ref="D153:F153"/>
    <mergeCell ref="B154:F154"/>
    <mergeCell ref="G174:H174"/>
    <mergeCell ref="D176:F176"/>
    <mergeCell ref="D177:F177"/>
    <mergeCell ref="D178:F178"/>
    <mergeCell ref="B186:C186"/>
    <mergeCell ref="B190:C190"/>
    <mergeCell ref="B191:C191"/>
    <mergeCell ref="B192:C192"/>
    <mergeCell ref="B185:C185"/>
    <mergeCell ref="B187:C187"/>
    <mergeCell ref="B141:C141"/>
    <mergeCell ref="D149:F149"/>
    <mergeCell ref="B135:C135"/>
    <mergeCell ref="B136:C136"/>
    <mergeCell ref="B137:C137"/>
    <mergeCell ref="B140:C140"/>
    <mergeCell ref="B142:C142"/>
    <mergeCell ref="B143:C143"/>
    <mergeCell ref="B146:B147"/>
    <mergeCell ref="B121:B122"/>
    <mergeCell ref="B132:C132"/>
    <mergeCell ref="B133:C133"/>
    <mergeCell ref="B134:C134"/>
    <mergeCell ref="D124:F124"/>
    <mergeCell ref="D125:F125"/>
    <mergeCell ref="D126:F126"/>
    <mergeCell ref="D127:F127"/>
    <mergeCell ref="G124:H124"/>
    <mergeCell ref="D128:F128"/>
    <mergeCell ref="B129:F129"/>
    <mergeCell ref="B115:C115"/>
    <mergeCell ref="B116:C116"/>
    <mergeCell ref="B117:C117"/>
    <mergeCell ref="B108:C108"/>
    <mergeCell ref="B109:C109"/>
    <mergeCell ref="B110:C110"/>
    <mergeCell ref="B111:C111"/>
    <mergeCell ref="B112:C112"/>
    <mergeCell ref="B118:C118"/>
    <mergeCell ref="D101:F101"/>
    <mergeCell ref="D102:F102"/>
    <mergeCell ref="D103:F103"/>
    <mergeCell ref="B107:C107"/>
    <mergeCell ref="B87:C87"/>
    <mergeCell ref="D99:F99"/>
    <mergeCell ref="G99:H99"/>
    <mergeCell ref="D100:F100"/>
    <mergeCell ref="B90:C90"/>
    <mergeCell ref="B91:C91"/>
    <mergeCell ref="B92:C92"/>
    <mergeCell ref="B93:C93"/>
    <mergeCell ref="B96:B97"/>
    <mergeCell ref="B104:F104"/>
    <mergeCell ref="B82:C82"/>
    <mergeCell ref="B83:C83"/>
    <mergeCell ref="B85:C85"/>
    <mergeCell ref="B86:C86"/>
    <mergeCell ref="D75:F75"/>
    <mergeCell ref="D76:F76"/>
    <mergeCell ref="D77:F77"/>
    <mergeCell ref="D78:F78"/>
    <mergeCell ref="B84:C84"/>
    <mergeCell ref="B79:F79"/>
    <mergeCell ref="D74:F74"/>
    <mergeCell ref="G74:H74"/>
    <mergeCell ref="B41:B42"/>
    <mergeCell ref="B71:B72"/>
    <mergeCell ref="D49:F49"/>
    <mergeCell ref="G49:H49"/>
    <mergeCell ref="D50:F50"/>
    <mergeCell ref="B58:C58"/>
    <mergeCell ref="B59:C59"/>
    <mergeCell ref="B60:C60"/>
    <mergeCell ref="B61:C61"/>
    <mergeCell ref="B62:C62"/>
    <mergeCell ref="D51:F51"/>
    <mergeCell ref="D52:F52"/>
    <mergeCell ref="D53:F53"/>
    <mergeCell ref="B57:C57"/>
    <mergeCell ref="B65:C65"/>
    <mergeCell ref="B66:C66"/>
    <mergeCell ref="B67:C67"/>
    <mergeCell ref="B68:C68"/>
    <mergeCell ref="B54:F54"/>
    <mergeCell ref="G199:H199"/>
    <mergeCell ref="D200:F200"/>
    <mergeCell ref="D201:F201"/>
    <mergeCell ref="D202:F202"/>
    <mergeCell ref="D203:F203"/>
    <mergeCell ref="B210:C210"/>
    <mergeCell ref="B215:C215"/>
    <mergeCell ref="B216:C216"/>
    <mergeCell ref="B217:C217"/>
    <mergeCell ref="B218:C218"/>
    <mergeCell ref="B221:B222"/>
    <mergeCell ref="D224:F224"/>
    <mergeCell ref="G224:H224"/>
    <mergeCell ref="D225:F225"/>
    <mergeCell ref="D226:F226"/>
    <mergeCell ref="D227:F227"/>
    <mergeCell ref="D228:F228"/>
    <mergeCell ref="B232:C232"/>
    <mergeCell ref="B233:C233"/>
    <mergeCell ref="B234:C234"/>
    <mergeCell ref="B235:C235"/>
    <mergeCell ref="B236:C236"/>
    <mergeCell ref="B237:C237"/>
    <mergeCell ref="B240:C240"/>
    <mergeCell ref="B241:C241"/>
    <mergeCell ref="B229:F229"/>
    <mergeCell ref="B242:C242"/>
    <mergeCell ref="B254:F254"/>
    <mergeCell ref="B267:C267"/>
    <mergeCell ref="B243:C243"/>
    <mergeCell ref="B246:B247"/>
    <mergeCell ref="D249:F249"/>
    <mergeCell ref="G249:H249"/>
    <mergeCell ref="D250:F250"/>
    <mergeCell ref="D251:F251"/>
    <mergeCell ref="D252:F252"/>
    <mergeCell ref="D253:F253"/>
    <mergeCell ref="B257:C257"/>
    <mergeCell ref="B292:C292"/>
    <mergeCell ref="B279:F279"/>
    <mergeCell ref="B258:C258"/>
    <mergeCell ref="B259:C259"/>
    <mergeCell ref="B260:C260"/>
    <mergeCell ref="B261:C261"/>
    <mergeCell ref="B262:C262"/>
    <mergeCell ref="B265:C265"/>
    <mergeCell ref="B266:C266"/>
    <mergeCell ref="M6:S16"/>
    <mergeCell ref="J5:K7"/>
    <mergeCell ref="B19:E19"/>
    <mergeCell ref="M5:S5"/>
    <mergeCell ref="C20:E20"/>
    <mergeCell ref="C21:E21"/>
    <mergeCell ref="C22:E22"/>
    <mergeCell ref="B293:C293"/>
    <mergeCell ref="B282:C282"/>
    <mergeCell ref="B283:C283"/>
    <mergeCell ref="B284:C284"/>
    <mergeCell ref="B285:C285"/>
    <mergeCell ref="B286:C286"/>
    <mergeCell ref="B287:C287"/>
    <mergeCell ref="B290:C290"/>
    <mergeCell ref="B291:C291"/>
    <mergeCell ref="B268:C268"/>
    <mergeCell ref="B271:B272"/>
    <mergeCell ref="D274:F274"/>
    <mergeCell ref="G274:H274"/>
    <mergeCell ref="D275:F275"/>
    <mergeCell ref="D276:F276"/>
    <mergeCell ref="D277:F277"/>
    <mergeCell ref="D278:F278"/>
    <mergeCell ref="C23:E23"/>
    <mergeCell ref="C24:E24"/>
    <mergeCell ref="C25:E25"/>
    <mergeCell ref="C26:E26"/>
    <mergeCell ref="C27:E27"/>
    <mergeCell ref="C28:E28"/>
    <mergeCell ref="C29:E29"/>
    <mergeCell ref="J42:K42"/>
    <mergeCell ref="B5:D5"/>
    <mergeCell ref="F5:G5"/>
  </mergeCells>
  <phoneticPr fontId="17" type="noConversion"/>
  <conditionalFormatting sqref="H20:H29">
    <cfRule type="containsText" dxfId="203" priority="1" operator="containsText" text="No cumple">
      <formula>NOT(ISERROR(SEARCH("No cumple",H20)))</formula>
    </cfRule>
    <cfRule type="containsText" dxfId="202" priority="2" operator="containsText" text="Cumple">
      <formula>NOT(ISERROR(SEARCH("Cumple",H20)))</formula>
    </cfRule>
  </conditionalFormatting>
  <dataValidations count="5">
    <dataValidation type="list" allowBlank="1" showInputMessage="1" showErrorMessage="1" sqref="C42 C272 C247 C222 C197 C172 C147 C122 C97 C72" xr:uid="{A7BD27DE-BEC4-4F77-AC28-FFC1F2032093}">
      <formula1>$B$7:$B$16</formula1>
    </dataValidation>
    <dataValidation type="list" allowBlank="1" showInputMessage="1" showErrorMessage="1" sqref="D200:F203 D225:F228 D275:F278 D250:F253 D151:F153 D175:F178 D50:F53 D75:F78 D101:F103 D126:F128" xr:uid="{2330ABCC-E40D-436F-A831-71E4760F8E94}">
      <formula1>INDIRECT($C50)</formula1>
    </dataValidation>
    <dataValidation type="list" allowBlank="1" showInputMessage="1" showErrorMessage="1" sqref="D100:F100" xr:uid="{BC615F4D-C133-4DDE-B5D4-C945D7D965F4}">
      <formula1>INDIRECT($C$100)</formula1>
    </dataValidation>
    <dataValidation type="list" allowBlank="1" showInputMessage="1" showErrorMessage="1" sqref="D125:F125" xr:uid="{AA90A4B1-7835-4418-A25E-6C908E055F32}">
      <formula1>INDIRECT($C$125)</formula1>
    </dataValidation>
    <dataValidation type="list" allowBlank="1" showInputMessage="1" showErrorMessage="1" sqref="D150:F150" xr:uid="{DA6C5EEA-55E8-42A2-A8EA-466F9E4F22CC}">
      <formula1>INDIRECT($C$150)</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81EC13BC-CED9-4000-9B49-FAC10ED0DA79}">
          <x14:formula1>
            <xm:f>Paquetes_A4!$J$2:$K$2</xm:f>
          </x14:formula1>
          <xm:sqref>C250:C253 C225:C228 C50:C53 C75:C78 C100:C103 C125:C128 C150:C153 C175:C178 C200:C203 C275:C278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7DC3-5AB8-4F6A-8172-7C995EB7F4E4}">
  <dimension ref="A1:AQ123"/>
  <sheetViews>
    <sheetView showGridLines="0" topLeftCell="A15" zoomScale="98" zoomScaleNormal="98" workbookViewId="0">
      <selection activeCell="G4" sqref="G4:J6"/>
    </sheetView>
  </sheetViews>
  <sheetFormatPr defaultColWidth="11.5546875" defaultRowHeight="13.2" x14ac:dyDescent="0.25"/>
  <cols>
    <col min="1" max="1" width="4.5546875" style="253" customWidth="1"/>
    <col min="2" max="2" width="14" style="253" customWidth="1"/>
    <col min="3" max="3" width="7.6640625" style="252" customWidth="1"/>
    <col min="4" max="4" width="14.5546875" style="253" customWidth="1"/>
    <col min="5" max="5" width="14.5546875" style="254" customWidth="1"/>
    <col min="6" max="6" width="16.109375" style="253" customWidth="1"/>
    <col min="7" max="7" width="7.44140625" style="253" customWidth="1"/>
    <col min="8" max="8" width="7.44140625" style="252" customWidth="1"/>
    <col min="9" max="9" width="11.33203125" style="253" customWidth="1"/>
    <col min="10" max="10" width="7.6640625" style="254" customWidth="1"/>
    <col min="11" max="11" width="3.33203125" style="253" customWidth="1"/>
    <col min="12" max="12" width="14" style="253" customWidth="1"/>
    <col min="13" max="13" width="7.6640625" style="253" customWidth="1"/>
    <col min="14" max="15" width="14.5546875" style="253" customWidth="1"/>
    <col min="16" max="16" width="16.109375" style="253" customWidth="1"/>
    <col min="17" max="18" width="7.44140625" style="253" customWidth="1"/>
    <col min="19" max="19" width="11.33203125" style="253" customWidth="1"/>
    <col min="20" max="20" width="7.6640625" style="253" customWidth="1"/>
    <col min="21" max="21" width="3.33203125" style="253" customWidth="1"/>
    <col min="22" max="22" width="14" style="253" customWidth="1"/>
    <col min="23" max="23" width="7.6640625" style="253" customWidth="1"/>
    <col min="24" max="25" width="14.5546875" style="253" customWidth="1"/>
    <col min="26" max="26" width="16.109375" style="253" customWidth="1"/>
    <col min="27" max="29" width="7.44140625" style="253" customWidth="1"/>
    <col min="30" max="30" width="11.33203125" style="253" customWidth="1"/>
    <col min="31" max="31" width="7.6640625" style="253" customWidth="1"/>
    <col min="32" max="32" width="3.33203125" style="253" customWidth="1"/>
    <col min="33" max="33" width="14" style="253" customWidth="1"/>
    <col min="34" max="34" width="7.6640625" style="253" customWidth="1"/>
    <col min="35" max="36" width="14.5546875" style="253" customWidth="1"/>
    <col min="37" max="37" width="16.109375" style="253" customWidth="1"/>
    <col min="38" max="40" width="7.44140625" style="253" customWidth="1"/>
    <col min="41" max="41" width="11.33203125" style="253" customWidth="1"/>
    <col min="42" max="42" width="7.6640625" style="253" customWidth="1"/>
    <col min="43" max="16384" width="11.5546875" style="253"/>
  </cols>
  <sheetData>
    <row r="1" spans="1:43" s="128" customFormat="1" ht="26.7" customHeight="1" x14ac:dyDescent="0.25">
      <c r="A1" s="367" t="s">
        <v>175</v>
      </c>
      <c r="B1" s="368" t="s">
        <v>176</v>
      </c>
      <c r="C1" s="368"/>
      <c r="D1" s="368"/>
      <c r="E1" s="368"/>
      <c r="F1" s="368" t="s">
        <v>177</v>
      </c>
      <c r="G1" s="366"/>
      <c r="H1" s="368"/>
      <c r="I1" s="368" t="s">
        <v>178</v>
      </c>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row>
    <row r="2" spans="1:43" ht="13.8" thickBot="1" x14ac:dyDescent="0.3">
      <c r="A2" s="543"/>
      <c r="B2" s="543"/>
      <c r="C2" s="544"/>
      <c r="D2" s="543"/>
      <c r="E2" s="545"/>
      <c r="F2" s="543"/>
      <c r="G2" s="543"/>
      <c r="H2" s="544"/>
      <c r="I2" s="543"/>
      <c r="J2" s="545"/>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row>
    <row r="3" spans="1:43" ht="26.7" customHeight="1" thickBot="1" x14ac:dyDescent="0.3">
      <c r="A3" s="543"/>
      <c r="B3" s="900" t="s">
        <v>179</v>
      </c>
      <c r="C3" s="901"/>
      <c r="D3" s="901"/>
      <c r="E3" s="901"/>
      <c r="F3" s="901"/>
      <c r="G3" s="957" t="s">
        <v>180</v>
      </c>
      <c r="H3" s="957"/>
      <c r="I3" s="957"/>
      <c r="J3" s="958"/>
      <c r="K3" s="546"/>
      <c r="L3" s="950" t="s">
        <v>181</v>
      </c>
      <c r="M3" s="950"/>
      <c r="N3" s="950"/>
      <c r="O3" s="950"/>
      <c r="P3" s="950"/>
      <c r="Q3" s="950"/>
      <c r="R3" s="950"/>
      <c r="S3" s="950"/>
      <c r="T3" s="543"/>
      <c r="U3" s="546"/>
      <c r="V3" s="543"/>
      <c r="W3" s="543"/>
      <c r="X3" s="543"/>
      <c r="Y3" s="543"/>
      <c r="Z3" s="543"/>
      <c r="AA3" s="543"/>
      <c r="AB3" s="543"/>
      <c r="AC3" s="543"/>
      <c r="AD3" s="543"/>
      <c r="AE3" s="543"/>
      <c r="AF3" s="546"/>
      <c r="AG3" s="543"/>
      <c r="AH3" s="543"/>
      <c r="AI3" s="543"/>
      <c r="AJ3" s="543"/>
      <c r="AK3" s="543"/>
      <c r="AL3" s="543"/>
      <c r="AM3" s="543"/>
      <c r="AN3" s="543"/>
      <c r="AO3" s="543"/>
      <c r="AP3" s="543"/>
      <c r="AQ3" s="543"/>
    </row>
    <row r="4" spans="1:43" ht="13.2" customHeight="1" x14ac:dyDescent="0.25">
      <c r="A4" s="543"/>
      <c r="B4" s="547" t="s">
        <v>182</v>
      </c>
      <c r="C4" s="258">
        <v>1.9</v>
      </c>
      <c r="D4" s="959" t="s">
        <v>183</v>
      </c>
      <c r="E4" s="959"/>
      <c r="F4" s="959"/>
      <c r="G4" s="960"/>
      <c r="H4" s="961"/>
      <c r="I4" s="961"/>
      <c r="J4" s="962"/>
      <c r="K4" s="546"/>
      <c r="L4" s="950"/>
      <c r="M4" s="950"/>
      <c r="N4" s="950"/>
      <c r="O4" s="950"/>
      <c r="P4" s="950"/>
      <c r="Q4" s="950"/>
      <c r="R4" s="950"/>
      <c r="S4" s="950"/>
      <c r="T4" s="543"/>
      <c r="U4" s="546"/>
      <c r="V4" s="543"/>
      <c r="W4" s="543"/>
      <c r="X4" s="543"/>
      <c r="Y4" s="543"/>
      <c r="Z4" s="543"/>
      <c r="AA4" s="543"/>
      <c r="AB4" s="543"/>
      <c r="AC4" s="543"/>
      <c r="AD4" s="543"/>
      <c r="AE4" s="543"/>
      <c r="AF4" s="546"/>
      <c r="AG4" s="543"/>
      <c r="AH4" s="543"/>
      <c r="AI4" s="543"/>
      <c r="AJ4" s="543"/>
      <c r="AK4" s="543"/>
      <c r="AL4" s="543"/>
      <c r="AM4" s="543"/>
      <c r="AN4" s="543"/>
      <c r="AO4" s="543"/>
      <c r="AP4" s="543"/>
      <c r="AQ4" s="543"/>
    </row>
    <row r="5" spans="1:43" x14ac:dyDescent="0.25">
      <c r="A5" s="543"/>
      <c r="B5" s="548" t="s">
        <v>184</v>
      </c>
      <c r="C5" s="257">
        <v>0.67</v>
      </c>
      <c r="D5" s="863" t="s">
        <v>185</v>
      </c>
      <c r="E5" s="863"/>
      <c r="F5" s="863"/>
      <c r="G5" s="857"/>
      <c r="H5" s="858"/>
      <c r="I5" s="858"/>
      <c r="J5" s="859"/>
      <c r="K5" s="546"/>
      <c r="L5" s="950"/>
      <c r="M5" s="950"/>
      <c r="N5" s="950"/>
      <c r="O5" s="950"/>
      <c r="P5" s="950"/>
      <c r="Q5" s="950"/>
      <c r="R5" s="950"/>
      <c r="S5" s="950"/>
      <c r="T5" s="543"/>
      <c r="U5" s="546"/>
      <c r="V5" s="543"/>
      <c r="W5" s="543"/>
      <c r="X5" s="543"/>
      <c r="Y5" s="543"/>
      <c r="Z5" s="543"/>
      <c r="AA5" s="543"/>
      <c r="AB5" s="543"/>
      <c r="AC5" s="543"/>
      <c r="AD5" s="543"/>
      <c r="AE5" s="543"/>
      <c r="AF5" s="546"/>
      <c r="AG5" s="543"/>
      <c r="AH5" s="543"/>
      <c r="AI5" s="543"/>
      <c r="AJ5" s="543"/>
      <c r="AK5" s="543"/>
      <c r="AL5" s="543"/>
      <c r="AM5" s="543"/>
      <c r="AN5" s="543"/>
      <c r="AO5" s="543"/>
      <c r="AP5" s="543"/>
      <c r="AQ5" s="543"/>
    </row>
    <row r="6" spans="1:43" ht="13.2" customHeight="1" thickBot="1" x14ac:dyDescent="0.3">
      <c r="A6" s="543"/>
      <c r="B6" s="549" t="s">
        <v>186</v>
      </c>
      <c r="C6" s="259">
        <v>0.7</v>
      </c>
      <c r="D6" s="917" t="s">
        <v>187</v>
      </c>
      <c r="E6" s="917"/>
      <c r="F6" s="917"/>
      <c r="G6" s="860"/>
      <c r="H6" s="861"/>
      <c r="I6" s="861"/>
      <c r="J6" s="862"/>
      <c r="K6" s="546"/>
      <c r="L6" s="950"/>
      <c r="M6" s="950"/>
      <c r="N6" s="950"/>
      <c r="O6" s="950"/>
      <c r="P6" s="950"/>
      <c r="Q6" s="950"/>
      <c r="R6" s="950"/>
      <c r="S6" s="950"/>
      <c r="T6" s="543"/>
      <c r="U6" s="546"/>
      <c r="V6" s="543"/>
      <c r="W6" s="543"/>
      <c r="X6" s="543"/>
      <c r="Y6" s="543"/>
      <c r="Z6" s="543"/>
      <c r="AA6" s="543"/>
      <c r="AB6" s="543"/>
      <c r="AC6" s="543"/>
      <c r="AD6" s="543"/>
      <c r="AE6" s="543"/>
      <c r="AF6" s="546"/>
      <c r="AG6" s="543"/>
      <c r="AH6" s="543"/>
      <c r="AI6" s="543"/>
      <c r="AJ6" s="543"/>
      <c r="AK6" s="543"/>
      <c r="AL6" s="543"/>
      <c r="AM6" s="543"/>
      <c r="AN6" s="543"/>
      <c r="AO6" s="543"/>
      <c r="AP6" s="543"/>
      <c r="AQ6" s="543"/>
    </row>
    <row r="7" spans="1:43" ht="13.8" thickBot="1" x14ac:dyDescent="0.3">
      <c r="A7" s="543"/>
      <c r="B7" s="550"/>
      <c r="C7" s="544"/>
      <c r="D7" s="844"/>
      <c r="E7" s="844"/>
      <c r="F7" s="844"/>
      <c r="G7" s="845"/>
      <c r="H7" s="845"/>
      <c r="I7" s="845"/>
      <c r="J7" s="845"/>
      <c r="K7" s="546"/>
      <c r="L7" s="546"/>
      <c r="M7" s="543"/>
      <c r="N7" s="543"/>
      <c r="O7" s="543"/>
      <c r="P7" s="543"/>
      <c r="Q7" s="543"/>
      <c r="R7" s="543"/>
      <c r="S7" s="543"/>
      <c r="T7" s="543"/>
      <c r="U7" s="546"/>
      <c r="V7" s="546"/>
      <c r="W7" s="543"/>
      <c r="X7" s="543"/>
      <c r="Y7" s="543"/>
      <c r="Z7" s="543"/>
      <c r="AA7" s="543"/>
      <c r="AB7" s="543"/>
      <c r="AC7" s="543"/>
      <c r="AD7" s="543"/>
      <c r="AE7" s="543"/>
      <c r="AF7" s="546"/>
      <c r="AG7" s="546"/>
      <c r="AH7" s="543"/>
      <c r="AI7" s="543"/>
      <c r="AJ7" s="543"/>
      <c r="AK7" s="543"/>
      <c r="AL7" s="543"/>
      <c r="AM7" s="543"/>
      <c r="AN7" s="543"/>
      <c r="AO7" s="543"/>
      <c r="AP7" s="543"/>
      <c r="AQ7" s="543"/>
    </row>
    <row r="8" spans="1:43" ht="26.7" customHeight="1" thickBot="1" x14ac:dyDescent="0.3">
      <c r="A8" s="543"/>
      <c r="B8" s="954" t="s">
        <v>188</v>
      </c>
      <c r="C8" s="955"/>
      <c r="D8" s="955"/>
      <c r="E8" s="955"/>
      <c r="F8" s="956"/>
      <c r="G8" s="846" t="s">
        <v>180</v>
      </c>
      <c r="H8" s="847"/>
      <c r="I8" s="847"/>
      <c r="J8" s="848"/>
      <c r="K8" s="546"/>
      <c r="L8" s="950" t="s">
        <v>189</v>
      </c>
      <c r="M8" s="950"/>
      <c r="N8" s="950"/>
      <c r="O8" s="950"/>
      <c r="P8" s="950"/>
      <c r="Q8" s="950"/>
      <c r="R8" s="950"/>
      <c r="S8" s="950"/>
      <c r="T8" s="543"/>
      <c r="U8" s="546"/>
      <c r="V8" s="546"/>
      <c r="W8" s="543"/>
      <c r="X8" s="543"/>
      <c r="Y8" s="543"/>
      <c r="Z8" s="543"/>
      <c r="AA8" s="543"/>
      <c r="AB8" s="543"/>
      <c r="AC8" s="543"/>
      <c r="AD8" s="543"/>
      <c r="AE8" s="543"/>
      <c r="AF8" s="546"/>
      <c r="AG8" s="546"/>
      <c r="AH8" s="543"/>
      <c r="AI8" s="543"/>
      <c r="AJ8" s="543"/>
      <c r="AK8" s="543"/>
      <c r="AL8" s="543"/>
      <c r="AM8" s="543"/>
      <c r="AN8" s="543"/>
      <c r="AO8" s="543"/>
      <c r="AP8" s="543"/>
      <c r="AQ8" s="543"/>
    </row>
    <row r="9" spans="1:43" ht="13.2" customHeight="1" x14ac:dyDescent="0.25">
      <c r="A9" s="543"/>
      <c r="B9" s="551" t="s">
        <v>190</v>
      </c>
      <c r="C9" s="263">
        <v>0.1</v>
      </c>
      <c r="D9" s="849" t="s">
        <v>191</v>
      </c>
      <c r="E9" s="849"/>
      <c r="F9" s="850"/>
      <c r="G9" s="854"/>
      <c r="H9" s="855"/>
      <c r="I9" s="855"/>
      <c r="J9" s="856"/>
      <c r="K9" s="546"/>
      <c r="L9" s="950"/>
      <c r="M9" s="950"/>
      <c r="N9" s="950"/>
      <c r="O9" s="950"/>
      <c r="P9" s="950"/>
      <c r="Q9" s="950"/>
      <c r="R9" s="950"/>
      <c r="S9" s="950"/>
      <c r="T9" s="543"/>
      <c r="U9" s="546"/>
      <c r="V9" s="546"/>
      <c r="W9" s="543"/>
      <c r="X9" s="543"/>
      <c r="Y9" s="543"/>
      <c r="Z9" s="543"/>
      <c r="AA9" s="543"/>
      <c r="AB9" s="543"/>
      <c r="AC9" s="543"/>
      <c r="AD9" s="543"/>
      <c r="AE9" s="543"/>
      <c r="AF9" s="546"/>
      <c r="AG9" s="546"/>
      <c r="AH9" s="543"/>
      <c r="AI9" s="543"/>
      <c r="AJ9" s="543"/>
      <c r="AK9" s="543"/>
      <c r="AL9" s="543"/>
      <c r="AM9" s="543"/>
      <c r="AN9" s="543"/>
      <c r="AO9" s="543"/>
      <c r="AP9" s="543"/>
      <c r="AQ9" s="543"/>
    </row>
    <row r="10" spans="1:43" x14ac:dyDescent="0.25">
      <c r="A10" s="543"/>
      <c r="B10" s="548" t="s">
        <v>192</v>
      </c>
      <c r="C10" s="261">
        <v>2</v>
      </c>
      <c r="D10" s="863" t="s">
        <v>193</v>
      </c>
      <c r="E10" s="863"/>
      <c r="F10" s="864"/>
      <c r="G10" s="857"/>
      <c r="H10" s="858"/>
      <c r="I10" s="858"/>
      <c r="J10" s="859"/>
      <c r="K10" s="546"/>
      <c r="L10" s="950"/>
      <c r="M10" s="950"/>
      <c r="N10" s="950"/>
      <c r="O10" s="950"/>
      <c r="P10" s="950"/>
      <c r="Q10" s="950"/>
      <c r="R10" s="950"/>
      <c r="S10" s="950"/>
      <c r="T10" s="543"/>
      <c r="U10" s="546"/>
      <c r="V10" s="546"/>
      <c r="W10" s="543"/>
      <c r="X10" s="543"/>
      <c r="Y10" s="543"/>
      <c r="Z10" s="543"/>
      <c r="AA10" s="543"/>
      <c r="AB10" s="543"/>
      <c r="AC10" s="543"/>
      <c r="AD10" s="543"/>
      <c r="AE10" s="543"/>
      <c r="AF10" s="546"/>
      <c r="AG10" s="546"/>
      <c r="AH10" s="543"/>
      <c r="AI10" s="543"/>
      <c r="AJ10" s="543"/>
      <c r="AK10" s="543"/>
      <c r="AL10" s="543"/>
      <c r="AM10" s="543"/>
      <c r="AN10" s="543"/>
      <c r="AO10" s="543"/>
      <c r="AP10" s="543"/>
      <c r="AQ10" s="543"/>
    </row>
    <row r="11" spans="1:43" ht="13.2" customHeight="1" thickBot="1" x14ac:dyDescent="0.3">
      <c r="A11" s="543"/>
      <c r="B11" s="549" t="s">
        <v>194</v>
      </c>
      <c r="C11" s="262">
        <f>+VLOOKUP(F11,'Formula limites'!J29:M37,MATCH('A5'!E11,'Formula limites'!K28:M28,0)+1,0)</f>
        <v>0.2</v>
      </c>
      <c r="D11" s="552" t="s">
        <v>195</v>
      </c>
      <c r="E11" s="260" t="s">
        <v>196</v>
      </c>
      <c r="F11" s="264" t="s">
        <v>197</v>
      </c>
      <c r="G11" s="860"/>
      <c r="H11" s="861"/>
      <c r="I11" s="861"/>
      <c r="J11" s="862"/>
      <c r="K11" s="546"/>
      <c r="L11" s="950"/>
      <c r="M11" s="950"/>
      <c r="N11" s="950"/>
      <c r="O11" s="950"/>
      <c r="P11" s="950"/>
      <c r="Q11" s="950"/>
      <c r="R11" s="950"/>
      <c r="S11" s="950"/>
      <c r="T11" s="543"/>
      <c r="U11" s="546"/>
      <c r="V11" s="546"/>
      <c r="W11" s="543"/>
      <c r="X11" s="543"/>
      <c r="Y11" s="543"/>
      <c r="Z11" s="543"/>
      <c r="AA11" s="543"/>
      <c r="AB11" s="543"/>
      <c r="AC11" s="543"/>
      <c r="AD11" s="543"/>
      <c r="AE11" s="543"/>
      <c r="AF11" s="546"/>
      <c r="AG11" s="546"/>
      <c r="AH11" s="543"/>
      <c r="AI11" s="543"/>
      <c r="AJ11" s="543"/>
      <c r="AK11" s="543"/>
      <c r="AL11" s="543"/>
      <c r="AM11" s="543"/>
      <c r="AN11" s="543"/>
      <c r="AO11" s="543"/>
      <c r="AP11" s="543"/>
      <c r="AQ11" s="543"/>
    </row>
    <row r="12" spans="1:43" ht="13.8" thickBot="1" x14ac:dyDescent="0.3">
      <c r="A12" s="543"/>
      <c r="B12" s="550"/>
      <c r="C12" s="553"/>
      <c r="D12" s="844"/>
      <c r="E12" s="844"/>
      <c r="F12" s="844"/>
      <c r="G12" s="845"/>
      <c r="H12" s="845"/>
      <c r="I12" s="845"/>
      <c r="J12" s="845"/>
      <c r="K12" s="546"/>
      <c r="L12" s="546"/>
      <c r="M12" s="546"/>
      <c r="N12" s="546"/>
      <c r="O12" s="546"/>
      <c r="P12" s="546"/>
      <c r="Q12" s="543"/>
      <c r="R12" s="543"/>
      <c r="S12" s="543"/>
      <c r="T12" s="543"/>
      <c r="U12" s="546"/>
      <c r="V12" s="546"/>
      <c r="W12" s="546"/>
      <c r="X12" s="546"/>
      <c r="Y12" s="546"/>
      <c r="Z12" s="546"/>
      <c r="AA12" s="546"/>
      <c r="AB12" s="543"/>
      <c r="AC12" s="543"/>
      <c r="AD12" s="543"/>
      <c r="AE12" s="543"/>
      <c r="AF12" s="546"/>
      <c r="AG12" s="546"/>
      <c r="AH12" s="546"/>
      <c r="AI12" s="546"/>
      <c r="AJ12" s="546"/>
      <c r="AK12" s="546"/>
      <c r="AL12" s="546"/>
      <c r="AM12" s="543"/>
      <c r="AN12" s="543"/>
      <c r="AO12" s="543"/>
      <c r="AP12" s="543"/>
      <c r="AQ12" s="543"/>
    </row>
    <row r="13" spans="1:43" ht="26.7" customHeight="1" thickBot="1" x14ac:dyDescent="0.3">
      <c r="A13" s="543"/>
      <c r="B13" s="954" t="s">
        <v>198</v>
      </c>
      <c r="C13" s="955"/>
      <c r="D13" s="955"/>
      <c r="E13" s="955"/>
      <c r="F13" s="963"/>
      <c r="G13" s="846" t="s">
        <v>180</v>
      </c>
      <c r="H13" s="847"/>
      <c r="I13" s="847"/>
      <c r="J13" s="848"/>
      <c r="K13" s="546"/>
      <c r="L13" s="950" t="s">
        <v>199</v>
      </c>
      <c r="M13" s="950"/>
      <c r="N13" s="950"/>
      <c r="O13" s="950"/>
      <c r="P13" s="950"/>
      <c r="Q13" s="950"/>
      <c r="R13" s="950"/>
      <c r="S13" s="950"/>
      <c r="T13" s="543"/>
      <c r="U13" s="546"/>
      <c r="V13" s="546"/>
      <c r="W13" s="543"/>
      <c r="X13" s="543"/>
      <c r="Y13" s="543"/>
      <c r="Z13" s="543"/>
      <c r="AA13" s="543"/>
      <c r="AB13" s="543"/>
      <c r="AC13" s="543"/>
      <c r="AD13" s="543"/>
      <c r="AE13" s="543"/>
      <c r="AF13" s="546"/>
      <c r="AG13" s="546"/>
      <c r="AH13" s="543"/>
      <c r="AI13" s="543"/>
      <c r="AJ13" s="543"/>
      <c r="AK13" s="543"/>
      <c r="AL13" s="543"/>
      <c r="AM13" s="543"/>
      <c r="AN13" s="543"/>
      <c r="AO13" s="543"/>
      <c r="AP13" s="543"/>
      <c r="AQ13" s="543"/>
    </row>
    <row r="14" spans="1:43" x14ac:dyDescent="0.25">
      <c r="A14" s="543"/>
      <c r="B14" s="887" t="s">
        <v>200</v>
      </c>
      <c r="C14" s="888"/>
      <c r="D14" s="879" t="s">
        <v>201</v>
      </c>
      <c r="E14" s="879"/>
      <c r="F14" s="889"/>
      <c r="G14" s="890"/>
      <c r="H14" s="891"/>
      <c r="I14" s="891"/>
      <c r="J14" s="892"/>
      <c r="K14" s="546"/>
      <c r="L14" s="950"/>
      <c r="M14" s="950"/>
      <c r="N14" s="950"/>
      <c r="O14" s="950"/>
      <c r="P14" s="950"/>
      <c r="Q14" s="950"/>
      <c r="R14" s="950"/>
      <c r="S14" s="950"/>
      <c r="T14" s="543"/>
      <c r="U14" s="546"/>
      <c r="V14" s="546"/>
      <c r="W14" s="546"/>
      <c r="X14" s="546"/>
      <c r="Y14" s="546"/>
      <c r="Z14" s="546"/>
      <c r="AA14" s="546"/>
      <c r="AB14" s="543"/>
      <c r="AC14" s="543"/>
      <c r="AD14" s="543"/>
      <c r="AE14" s="543"/>
      <c r="AF14" s="546"/>
      <c r="AG14" s="546"/>
      <c r="AH14" s="546"/>
      <c r="AI14" s="546"/>
      <c r="AJ14" s="546"/>
      <c r="AK14" s="546"/>
      <c r="AL14" s="546"/>
      <c r="AM14" s="543"/>
      <c r="AN14" s="543"/>
      <c r="AO14" s="543"/>
      <c r="AP14" s="543"/>
      <c r="AQ14" s="543"/>
    </row>
    <row r="15" spans="1:43" ht="13.8" thickBot="1" x14ac:dyDescent="0.3">
      <c r="A15" s="543"/>
      <c r="B15" s="896" t="s">
        <v>202</v>
      </c>
      <c r="C15" s="897"/>
      <c r="D15" s="898" t="s">
        <v>197</v>
      </c>
      <c r="E15" s="898"/>
      <c r="F15" s="899"/>
      <c r="G15" s="893"/>
      <c r="H15" s="894"/>
      <c r="I15" s="894"/>
      <c r="J15" s="895"/>
      <c r="K15" s="546"/>
      <c r="L15" s="950"/>
      <c r="M15" s="950"/>
      <c r="N15" s="950"/>
      <c r="O15" s="950"/>
      <c r="P15" s="950"/>
      <c r="Q15" s="950"/>
      <c r="R15" s="950"/>
      <c r="S15" s="950"/>
      <c r="T15" s="543"/>
      <c r="U15" s="546"/>
      <c r="V15" s="546"/>
      <c r="W15" s="546"/>
      <c r="X15" s="546"/>
      <c r="Y15" s="546"/>
      <c r="Z15" s="546"/>
      <c r="AA15" s="546"/>
      <c r="AB15" s="543"/>
      <c r="AC15" s="543"/>
      <c r="AD15" s="543"/>
      <c r="AE15" s="543"/>
      <c r="AF15" s="546"/>
      <c r="AG15" s="546"/>
      <c r="AH15" s="546"/>
      <c r="AI15" s="546"/>
      <c r="AJ15" s="546"/>
      <c r="AK15" s="546"/>
      <c r="AL15" s="546"/>
      <c r="AM15" s="543"/>
      <c r="AN15" s="543"/>
      <c r="AO15" s="543"/>
      <c r="AP15" s="543"/>
      <c r="AQ15" s="543"/>
    </row>
    <row r="16" spans="1:43" ht="14.1" customHeight="1" x14ac:dyDescent="0.25">
      <c r="A16" s="543"/>
      <c r="B16" s="543"/>
      <c r="C16" s="544"/>
      <c r="D16" s="543"/>
      <c r="E16" s="545"/>
      <c r="F16" s="543"/>
      <c r="G16" s="543"/>
      <c r="H16" s="544"/>
      <c r="I16" s="543"/>
      <c r="J16" s="545"/>
      <c r="K16" s="554"/>
      <c r="L16" s="543"/>
      <c r="M16" s="543"/>
      <c r="N16" s="543"/>
      <c r="O16" s="543"/>
      <c r="P16" s="543"/>
      <c r="Q16" s="546"/>
      <c r="R16" s="543"/>
      <c r="S16" s="543"/>
      <c r="T16" s="543"/>
      <c r="U16" s="554"/>
      <c r="V16" s="546"/>
      <c r="W16" s="546"/>
      <c r="X16" s="546"/>
      <c r="Y16" s="546"/>
      <c r="Z16" s="546"/>
      <c r="AA16" s="546"/>
      <c r="AB16" s="546"/>
      <c r="AC16" s="543"/>
      <c r="AD16" s="543"/>
      <c r="AE16" s="543"/>
      <c r="AF16" s="554"/>
      <c r="AG16" s="546"/>
      <c r="AH16" s="546"/>
      <c r="AI16" s="546"/>
      <c r="AJ16" s="546"/>
      <c r="AK16" s="546"/>
      <c r="AL16" s="546"/>
      <c r="AM16" s="546"/>
      <c r="AN16" s="543"/>
      <c r="AO16" s="543"/>
      <c r="AP16" s="543"/>
      <c r="AQ16" s="543"/>
    </row>
    <row r="17" spans="1:43" ht="14.1" customHeight="1" thickBot="1" x14ac:dyDescent="0.3">
      <c r="A17" s="543"/>
      <c r="B17" s="543"/>
      <c r="C17" s="544"/>
      <c r="D17" s="543"/>
      <c r="E17" s="545"/>
      <c r="F17" s="543"/>
      <c r="G17" s="543"/>
      <c r="H17" s="544"/>
      <c r="I17" s="543"/>
      <c r="J17" s="545"/>
      <c r="K17" s="554"/>
      <c r="L17" s="543"/>
      <c r="M17" s="543"/>
      <c r="N17" s="543"/>
      <c r="O17" s="543"/>
      <c r="P17" s="543"/>
      <c r="Q17" s="546"/>
      <c r="R17" s="543"/>
      <c r="S17" s="543"/>
      <c r="T17" s="543"/>
      <c r="U17" s="554"/>
      <c r="V17" s="546"/>
      <c r="W17" s="546"/>
      <c r="X17" s="546"/>
      <c r="Y17" s="546"/>
      <c r="Z17" s="546"/>
      <c r="AA17" s="546"/>
      <c r="AB17" s="546"/>
      <c r="AC17" s="543"/>
      <c r="AD17" s="543"/>
      <c r="AE17" s="543"/>
      <c r="AF17" s="554"/>
      <c r="AG17" s="546"/>
      <c r="AH17" s="546"/>
      <c r="AI17" s="546"/>
      <c r="AJ17" s="546"/>
      <c r="AK17" s="546"/>
      <c r="AL17" s="546"/>
      <c r="AM17" s="546"/>
      <c r="AN17" s="543"/>
      <c r="AO17" s="543"/>
      <c r="AP17" s="543"/>
      <c r="AQ17" s="543"/>
    </row>
    <row r="18" spans="1:43" ht="26.7" customHeight="1" thickBot="1" x14ac:dyDescent="0.3">
      <c r="A18" s="543"/>
      <c r="B18" s="900" t="s">
        <v>203</v>
      </c>
      <c r="C18" s="901"/>
      <c r="D18" s="901"/>
      <c r="E18" s="901"/>
      <c r="F18" s="902"/>
      <c r="G18" s="555"/>
      <c r="H18" s="555"/>
      <c r="I18" s="555"/>
      <c r="J18" s="556"/>
      <c r="K18" s="546"/>
      <c r="L18" s="950" t="s">
        <v>204</v>
      </c>
      <c r="M18" s="950"/>
      <c r="N18" s="950"/>
      <c r="O18" s="950"/>
      <c r="P18" s="950"/>
      <c r="Q18" s="950"/>
      <c r="R18" s="950"/>
      <c r="S18" s="950"/>
      <c r="T18" s="543"/>
      <c r="U18" s="546"/>
      <c r="V18" s="546"/>
      <c r="W18" s="543"/>
      <c r="X18" s="546"/>
      <c r="Y18" s="546"/>
      <c r="Z18" s="546"/>
      <c r="AA18" s="546"/>
      <c r="AB18" s="543"/>
      <c r="AC18" s="543"/>
      <c r="AD18" s="543"/>
      <c r="AE18" s="543"/>
      <c r="AF18" s="546"/>
      <c r="AG18" s="546"/>
      <c r="AH18" s="543"/>
      <c r="AI18" s="546"/>
      <c r="AJ18" s="546"/>
      <c r="AK18" s="546"/>
      <c r="AL18" s="546"/>
      <c r="AM18" s="543"/>
      <c r="AN18" s="543"/>
      <c r="AO18" s="543"/>
      <c r="AP18" s="543"/>
      <c r="AQ18" s="543"/>
    </row>
    <row r="19" spans="1:43" ht="20.399999999999999" customHeight="1" thickBot="1" x14ac:dyDescent="0.3">
      <c r="A19" s="543"/>
      <c r="B19" s="944" t="s">
        <v>205</v>
      </c>
      <c r="C19" s="945"/>
      <c r="D19" s="946" t="s">
        <v>206</v>
      </c>
      <c r="E19" s="946"/>
      <c r="F19" s="946"/>
      <c r="G19" s="947" t="s">
        <v>207</v>
      </c>
      <c r="H19" s="947"/>
      <c r="I19" s="948" cm="1">
        <f t="array" ref="I19">+_xlfn.IFS(D19=B21,C29,D19=L21,M29,D19=V21,W29,D19=AG21,AH29,D19='Formula limites'!Y5,"N/A")</f>
        <v>0.72</v>
      </c>
      <c r="J19" s="949"/>
      <c r="K19" s="557"/>
      <c r="L19" s="950"/>
      <c r="M19" s="950"/>
      <c r="N19" s="950"/>
      <c r="O19" s="950"/>
      <c r="P19" s="950"/>
      <c r="Q19" s="950"/>
      <c r="R19" s="950"/>
      <c r="S19" s="950"/>
      <c r="T19" s="543"/>
      <c r="U19" s="557"/>
      <c r="V19" s="546"/>
      <c r="W19" s="543"/>
      <c r="X19" s="546"/>
      <c r="Y19" s="546"/>
      <c r="Z19" s="546"/>
      <c r="AA19" s="546"/>
      <c r="AB19" s="543"/>
      <c r="AC19" s="543"/>
      <c r="AD19" s="543"/>
      <c r="AE19" s="543"/>
      <c r="AF19" s="557"/>
      <c r="AG19" s="546"/>
      <c r="AH19" s="543"/>
      <c r="AI19" s="546"/>
      <c r="AJ19" s="546"/>
      <c r="AK19" s="546"/>
      <c r="AL19" s="546"/>
      <c r="AM19" s="543"/>
      <c r="AN19" s="543"/>
      <c r="AO19" s="543"/>
      <c r="AP19" s="543"/>
      <c r="AQ19" s="543"/>
    </row>
    <row r="20" spans="1:43" s="255" customFormat="1" ht="13.8" thickBot="1" x14ac:dyDescent="0.3">
      <c r="A20" s="546"/>
      <c r="B20" s="546"/>
      <c r="C20" s="546"/>
      <c r="D20" s="546"/>
      <c r="E20" s="546"/>
      <c r="F20" s="546"/>
      <c r="G20" s="546"/>
      <c r="H20" s="546"/>
      <c r="I20" s="546"/>
      <c r="J20" s="546"/>
      <c r="K20" s="546"/>
      <c r="L20" s="546"/>
      <c r="M20" s="543"/>
      <c r="N20" s="546"/>
      <c r="O20" s="546"/>
      <c r="P20" s="546"/>
      <c r="Q20" s="546"/>
      <c r="R20" s="546"/>
      <c r="S20" s="546"/>
      <c r="T20" s="546"/>
      <c r="U20" s="546"/>
      <c r="V20" s="546"/>
      <c r="W20" s="543"/>
      <c r="X20" s="546"/>
      <c r="Y20" s="546"/>
      <c r="Z20" s="546"/>
      <c r="AA20" s="546"/>
      <c r="AB20" s="546"/>
      <c r="AC20" s="546"/>
      <c r="AD20" s="546"/>
      <c r="AE20" s="546"/>
      <c r="AF20" s="546"/>
      <c r="AG20" s="546"/>
      <c r="AH20" s="543"/>
      <c r="AI20" s="546"/>
      <c r="AJ20" s="546"/>
      <c r="AK20" s="546"/>
      <c r="AL20" s="546"/>
      <c r="AM20" s="546"/>
      <c r="AN20" s="546"/>
      <c r="AO20" s="546"/>
      <c r="AP20" s="546"/>
      <c r="AQ20" s="546"/>
    </row>
    <row r="21" spans="1:43" s="255" customFormat="1" ht="26.7" customHeight="1" thickBot="1" x14ac:dyDescent="0.3">
      <c r="A21" s="546"/>
      <c r="B21" s="881" t="s">
        <v>208</v>
      </c>
      <c r="C21" s="882"/>
      <c r="D21" s="882"/>
      <c r="E21" s="882"/>
      <c r="F21" s="883"/>
      <c r="G21" s="884" t="str">
        <f>IF($D$19=B21,"Aplica","No Aplica")</f>
        <v>No Aplica</v>
      </c>
      <c r="H21" s="885"/>
      <c r="I21" s="885"/>
      <c r="J21" s="886"/>
      <c r="K21" s="546"/>
      <c r="L21" s="881" t="s">
        <v>209</v>
      </c>
      <c r="M21" s="882"/>
      <c r="N21" s="882"/>
      <c r="O21" s="882"/>
      <c r="P21" s="883"/>
      <c r="Q21" s="884" t="str">
        <f>IF($D$19=L21,"Aplica","No Aplica")</f>
        <v>No Aplica</v>
      </c>
      <c r="R21" s="885"/>
      <c r="S21" s="885"/>
      <c r="T21" s="886"/>
      <c r="U21" s="546"/>
      <c r="V21" s="881" t="s">
        <v>206</v>
      </c>
      <c r="W21" s="882"/>
      <c r="X21" s="882"/>
      <c r="Y21" s="882"/>
      <c r="Z21" s="882"/>
      <c r="AA21" s="883"/>
      <c r="AB21" s="884" t="str">
        <f>IF($D$19=V21,"Aplica","No Aplica")</f>
        <v>Aplica</v>
      </c>
      <c r="AC21" s="885"/>
      <c r="AD21" s="885"/>
      <c r="AE21" s="886"/>
      <c r="AF21" s="546"/>
      <c r="AG21" s="881" t="s">
        <v>210</v>
      </c>
      <c r="AH21" s="882"/>
      <c r="AI21" s="882"/>
      <c r="AJ21" s="882"/>
      <c r="AK21" s="882"/>
      <c r="AL21" s="883"/>
      <c r="AM21" s="884" t="str">
        <f>IF($D$19=AG21,"Aplica","No Aplica")</f>
        <v>No Aplica</v>
      </c>
      <c r="AN21" s="885"/>
      <c r="AO21" s="885"/>
      <c r="AP21" s="886"/>
      <c r="AQ21" s="546"/>
    </row>
    <row r="22" spans="1:43" ht="13.8" thickBot="1" x14ac:dyDescent="0.3">
      <c r="A22" s="543"/>
      <c r="B22" s="940" t="s">
        <v>211</v>
      </c>
      <c r="C22" s="941"/>
      <c r="D22" s="940" t="s">
        <v>180</v>
      </c>
      <c r="E22" s="942"/>
      <c r="F22" s="943"/>
      <c r="G22" s="940" t="s">
        <v>212</v>
      </c>
      <c r="H22" s="942"/>
      <c r="I22" s="942"/>
      <c r="J22" s="943"/>
      <c r="K22" s="558"/>
      <c r="L22" s="940" t="s">
        <v>211</v>
      </c>
      <c r="M22" s="941"/>
      <c r="N22" s="940" t="s">
        <v>180</v>
      </c>
      <c r="O22" s="942"/>
      <c r="P22" s="943"/>
      <c r="Q22" s="940" t="s">
        <v>212</v>
      </c>
      <c r="R22" s="942"/>
      <c r="S22" s="942"/>
      <c r="T22" s="943"/>
      <c r="U22" s="558"/>
      <c r="V22" s="940" t="s">
        <v>211</v>
      </c>
      <c r="W22" s="941"/>
      <c r="X22" s="940" t="s">
        <v>180</v>
      </c>
      <c r="Y22" s="942"/>
      <c r="Z22" s="942"/>
      <c r="AA22" s="943"/>
      <c r="AB22" s="940" t="s">
        <v>212</v>
      </c>
      <c r="AC22" s="942"/>
      <c r="AD22" s="942"/>
      <c r="AE22" s="943"/>
      <c r="AF22" s="558"/>
      <c r="AG22" s="940" t="s">
        <v>211</v>
      </c>
      <c r="AH22" s="941"/>
      <c r="AI22" s="940" t="s">
        <v>180</v>
      </c>
      <c r="AJ22" s="942"/>
      <c r="AK22" s="942"/>
      <c r="AL22" s="943"/>
      <c r="AM22" s="940" t="s">
        <v>212</v>
      </c>
      <c r="AN22" s="942"/>
      <c r="AO22" s="942"/>
      <c r="AP22" s="943"/>
      <c r="AQ22" s="543"/>
    </row>
    <row r="23" spans="1:43" x14ac:dyDescent="0.25">
      <c r="A23" s="543"/>
      <c r="B23" s="876" t="s">
        <v>213</v>
      </c>
      <c r="C23" s="877"/>
      <c r="D23" s="878"/>
      <c r="E23" s="879"/>
      <c r="F23" s="880"/>
      <c r="G23" s="903"/>
      <c r="H23" s="904"/>
      <c r="I23" s="904"/>
      <c r="J23" s="905"/>
      <c r="K23" s="558"/>
      <c r="L23" s="876" t="s">
        <v>213</v>
      </c>
      <c r="M23" s="877"/>
      <c r="N23" s="878"/>
      <c r="O23" s="879"/>
      <c r="P23" s="880"/>
      <c r="Q23" s="903"/>
      <c r="R23" s="904"/>
      <c r="S23" s="904"/>
      <c r="T23" s="905"/>
      <c r="U23" s="558"/>
      <c r="V23" s="876" t="s">
        <v>213</v>
      </c>
      <c r="W23" s="877"/>
      <c r="X23" s="878" t="s">
        <v>214</v>
      </c>
      <c r="Y23" s="879"/>
      <c r="Z23" s="879"/>
      <c r="AA23" s="880"/>
      <c r="AB23" s="932"/>
      <c r="AC23" s="933"/>
      <c r="AD23" s="933"/>
      <c r="AE23" s="934"/>
      <c r="AF23" s="558"/>
      <c r="AG23" s="876" t="s">
        <v>213</v>
      </c>
      <c r="AH23" s="877"/>
      <c r="AI23" s="878" t="s">
        <v>215</v>
      </c>
      <c r="AJ23" s="879"/>
      <c r="AK23" s="879"/>
      <c r="AL23" s="880"/>
      <c r="AM23" s="932"/>
      <c r="AN23" s="933"/>
      <c r="AO23" s="933"/>
      <c r="AP23" s="934"/>
      <c r="AQ23" s="543"/>
    </row>
    <row r="24" spans="1:43" ht="13.2" customHeight="1" x14ac:dyDescent="0.25">
      <c r="A24" s="543"/>
      <c r="B24" s="559" t="s">
        <v>216</v>
      </c>
      <c r="C24" s="265"/>
      <c r="D24" s="912"/>
      <c r="E24" s="858"/>
      <c r="F24" s="859"/>
      <c r="G24" s="906"/>
      <c r="H24" s="907"/>
      <c r="I24" s="907"/>
      <c r="J24" s="908"/>
      <c r="K24" s="546"/>
      <c r="L24" s="559" t="s">
        <v>217</v>
      </c>
      <c r="M24" s="265"/>
      <c r="N24" s="912"/>
      <c r="O24" s="858"/>
      <c r="P24" s="859"/>
      <c r="Q24" s="906"/>
      <c r="R24" s="907"/>
      <c r="S24" s="907"/>
      <c r="T24" s="908"/>
      <c r="U24" s="546"/>
      <c r="V24" s="559" t="s">
        <v>216</v>
      </c>
      <c r="W24" s="266">
        <v>0.05</v>
      </c>
      <c r="X24" s="912"/>
      <c r="Y24" s="858"/>
      <c r="Z24" s="858"/>
      <c r="AA24" s="859"/>
      <c r="AB24" s="906"/>
      <c r="AC24" s="907"/>
      <c r="AD24" s="907"/>
      <c r="AE24" s="908"/>
      <c r="AF24" s="546"/>
      <c r="AG24" s="559" t="s">
        <v>216</v>
      </c>
      <c r="AH24" s="266">
        <v>0.05</v>
      </c>
      <c r="AI24" s="912"/>
      <c r="AJ24" s="858"/>
      <c r="AK24" s="858"/>
      <c r="AL24" s="859"/>
      <c r="AM24" s="906"/>
      <c r="AN24" s="907"/>
      <c r="AO24" s="907"/>
      <c r="AP24" s="908"/>
      <c r="AQ24" s="543"/>
    </row>
    <row r="25" spans="1:43" x14ac:dyDescent="0.25">
      <c r="A25" s="543"/>
      <c r="B25" s="559" t="s">
        <v>218</v>
      </c>
      <c r="C25" s="265"/>
      <c r="D25" s="857"/>
      <c r="E25" s="858"/>
      <c r="F25" s="859"/>
      <c r="G25" s="906"/>
      <c r="H25" s="907"/>
      <c r="I25" s="907"/>
      <c r="J25" s="908"/>
      <c r="K25" s="546"/>
      <c r="L25" s="559" t="s">
        <v>219</v>
      </c>
      <c r="M25" s="265"/>
      <c r="N25" s="857"/>
      <c r="O25" s="858"/>
      <c r="P25" s="859"/>
      <c r="Q25" s="906"/>
      <c r="R25" s="907"/>
      <c r="S25" s="907"/>
      <c r="T25" s="908"/>
      <c r="U25" s="546"/>
      <c r="V25" s="559" t="s">
        <v>218</v>
      </c>
      <c r="W25" s="266">
        <v>0.1</v>
      </c>
      <c r="X25" s="857"/>
      <c r="Y25" s="858"/>
      <c r="Z25" s="858"/>
      <c r="AA25" s="859"/>
      <c r="AB25" s="906"/>
      <c r="AC25" s="907"/>
      <c r="AD25" s="907"/>
      <c r="AE25" s="908"/>
      <c r="AF25" s="546"/>
      <c r="AG25" s="559" t="s">
        <v>218</v>
      </c>
      <c r="AH25" s="266">
        <v>0.1</v>
      </c>
      <c r="AI25" s="857"/>
      <c r="AJ25" s="858"/>
      <c r="AK25" s="858"/>
      <c r="AL25" s="859"/>
      <c r="AM25" s="906"/>
      <c r="AN25" s="907"/>
      <c r="AO25" s="907"/>
      <c r="AP25" s="908"/>
      <c r="AQ25" s="543"/>
    </row>
    <row r="26" spans="1:43" ht="13.2" customHeight="1" x14ac:dyDescent="0.25">
      <c r="A26" s="543"/>
      <c r="B26" s="559" t="s">
        <v>220</v>
      </c>
      <c r="C26" s="265"/>
      <c r="D26" s="857"/>
      <c r="E26" s="858"/>
      <c r="F26" s="859"/>
      <c r="G26" s="906"/>
      <c r="H26" s="907"/>
      <c r="I26" s="907"/>
      <c r="J26" s="908"/>
      <c r="K26" s="546"/>
      <c r="L26" s="559" t="s">
        <v>220</v>
      </c>
      <c r="M26" s="265"/>
      <c r="N26" s="857"/>
      <c r="O26" s="858"/>
      <c r="P26" s="859"/>
      <c r="Q26" s="906"/>
      <c r="R26" s="907"/>
      <c r="S26" s="907"/>
      <c r="T26" s="908"/>
      <c r="U26" s="546"/>
      <c r="V26" s="559" t="s">
        <v>221</v>
      </c>
      <c r="W26" s="560">
        <f>IFERROR(W24/W25,"")</f>
        <v>0.5</v>
      </c>
      <c r="X26" s="857"/>
      <c r="Y26" s="858"/>
      <c r="Z26" s="858"/>
      <c r="AA26" s="859"/>
      <c r="AB26" s="906"/>
      <c r="AC26" s="907"/>
      <c r="AD26" s="907"/>
      <c r="AE26" s="908"/>
      <c r="AF26" s="546"/>
      <c r="AG26" s="559" t="s">
        <v>221</v>
      </c>
      <c r="AH26" s="560">
        <f>IFERROR(AH24/AH25,"")</f>
        <v>0.5</v>
      </c>
      <c r="AI26" s="857"/>
      <c r="AJ26" s="858"/>
      <c r="AK26" s="858"/>
      <c r="AL26" s="859"/>
      <c r="AM26" s="906"/>
      <c r="AN26" s="907"/>
      <c r="AO26" s="907"/>
      <c r="AP26" s="908"/>
      <c r="AQ26" s="543"/>
    </row>
    <row r="27" spans="1:43" ht="13.2" customHeight="1" x14ac:dyDescent="0.25">
      <c r="A27" s="543"/>
      <c r="B27" s="559" t="s">
        <v>222</v>
      </c>
      <c r="C27" s="560" t="str">
        <f>IFERROR(ROUND(C25/C26,1),"")</f>
        <v/>
      </c>
      <c r="D27" s="857"/>
      <c r="E27" s="858"/>
      <c r="F27" s="859"/>
      <c r="G27" s="906"/>
      <c r="H27" s="907"/>
      <c r="I27" s="907"/>
      <c r="J27" s="908"/>
      <c r="K27" s="546"/>
      <c r="L27" s="559" t="s">
        <v>223</v>
      </c>
      <c r="M27" s="560" t="str">
        <f>IFERROR(ROUND(M24/M25,1),"")</f>
        <v/>
      </c>
      <c r="N27" s="857"/>
      <c r="O27" s="858"/>
      <c r="P27" s="859"/>
      <c r="Q27" s="906"/>
      <c r="R27" s="907"/>
      <c r="S27" s="907"/>
      <c r="T27" s="908"/>
      <c r="U27" s="546"/>
      <c r="V27" s="935" t="s">
        <v>224</v>
      </c>
      <c r="W27" s="936">
        <v>70</v>
      </c>
      <c r="X27" s="857"/>
      <c r="Y27" s="858"/>
      <c r="Z27" s="858"/>
      <c r="AA27" s="859"/>
      <c r="AB27" s="906"/>
      <c r="AC27" s="907"/>
      <c r="AD27" s="907"/>
      <c r="AE27" s="908"/>
      <c r="AF27" s="546"/>
      <c r="AG27" s="935" t="s">
        <v>225</v>
      </c>
      <c r="AH27" s="936">
        <v>70</v>
      </c>
      <c r="AI27" s="857"/>
      <c r="AJ27" s="858"/>
      <c r="AK27" s="858"/>
      <c r="AL27" s="859"/>
      <c r="AM27" s="906"/>
      <c r="AN27" s="907"/>
      <c r="AO27" s="907"/>
      <c r="AP27" s="908"/>
      <c r="AQ27" s="543"/>
    </row>
    <row r="28" spans="1:43" ht="13.2" customHeight="1" x14ac:dyDescent="0.25">
      <c r="A28" s="543"/>
      <c r="B28" s="559" t="s">
        <v>226</v>
      </c>
      <c r="C28" s="560" t="str">
        <f>IFERROR(ROUND(C24/C26,1),"")</f>
        <v/>
      </c>
      <c r="D28" s="857"/>
      <c r="E28" s="858"/>
      <c r="F28" s="859"/>
      <c r="G28" s="906"/>
      <c r="H28" s="907"/>
      <c r="I28" s="907"/>
      <c r="J28" s="908"/>
      <c r="K28" s="546"/>
      <c r="L28" s="559" t="s">
        <v>227</v>
      </c>
      <c r="M28" s="560" t="str">
        <f>IFERROR(ROUND(M24/M26,1),"")</f>
        <v/>
      </c>
      <c r="N28" s="857"/>
      <c r="O28" s="858"/>
      <c r="P28" s="859"/>
      <c r="Q28" s="906"/>
      <c r="R28" s="907"/>
      <c r="S28" s="907"/>
      <c r="T28" s="908"/>
      <c r="U28" s="546"/>
      <c r="V28" s="935"/>
      <c r="W28" s="936"/>
      <c r="X28" s="857"/>
      <c r="Y28" s="858"/>
      <c r="Z28" s="858"/>
      <c r="AA28" s="859"/>
      <c r="AB28" s="906"/>
      <c r="AC28" s="907"/>
      <c r="AD28" s="907"/>
      <c r="AE28" s="908"/>
      <c r="AF28" s="546"/>
      <c r="AG28" s="935"/>
      <c r="AH28" s="936"/>
      <c r="AI28" s="857"/>
      <c r="AJ28" s="858"/>
      <c r="AK28" s="858"/>
      <c r="AL28" s="859"/>
      <c r="AM28" s="906"/>
      <c r="AN28" s="907"/>
      <c r="AO28" s="907"/>
      <c r="AP28" s="908"/>
      <c r="AQ28" s="543"/>
    </row>
    <row r="29" spans="1:43" ht="13.2" customHeight="1" thickBot="1" x14ac:dyDescent="0.3">
      <c r="A29" s="543"/>
      <c r="B29" s="561" t="s">
        <v>228</v>
      </c>
      <c r="C29" s="562" t="str" cm="1">
        <f t="array" ref="C29">+IFERROR(VLOOKUP(_xlfn.CONCAT(D23,_xlfn.IFS(C28&lt;=0.2,1,C28&lt;=0.5,2,C28&gt;0.5,3)),'Formula limites'!AP4:AT18,_xlfn.IFS(C27&lt;=0.5,1,C27&lt;=1,2,C27&lt;=2,3,C27&gt;2,4)+1,0),"")</f>
        <v/>
      </c>
      <c r="D29" s="867" t="s">
        <v>229</v>
      </c>
      <c r="E29" s="868"/>
      <c r="F29" s="869"/>
      <c r="G29" s="906"/>
      <c r="H29" s="907"/>
      <c r="I29" s="907"/>
      <c r="J29" s="908"/>
      <c r="K29" s="543"/>
      <c r="L29" s="563" t="s">
        <v>228</v>
      </c>
      <c r="M29" s="564" t="str" cm="1">
        <f t="array" ref="M29">+IFERROR(VLOOKUP(_xlfn.CONCAT(N23,_xlfn.IFS(M28&lt;=0.1,1,M28&lt;=0.2,2,M28&lt;=0.5,3,M28&gt;0.5,4)),'Formula limites'!AZ3:BD22,_xlfn.IFS(M27&lt;=0.1,1,M27&lt;=0.2,2,M27&lt;=0.5,3,M27&gt;0.5,4)+1,0),"")</f>
        <v/>
      </c>
      <c r="N29" s="851" t="s">
        <v>229</v>
      </c>
      <c r="O29" s="852"/>
      <c r="P29" s="853"/>
      <c r="Q29" s="906"/>
      <c r="R29" s="907"/>
      <c r="S29" s="907"/>
      <c r="T29" s="908"/>
      <c r="U29" s="543"/>
      <c r="V29" s="563" t="s">
        <v>228</v>
      </c>
      <c r="W29" s="564" cm="1">
        <f t="array" ref="W29">+IFERROR(VLOOKUP(X23,'Formula limites'!BG4:BJ8,_xlfn.IFS(W27&lt;30,1,W27&lt;60,2,W27&gt;=60,3)+1,0),"")</f>
        <v>0.72</v>
      </c>
      <c r="X29" s="851" t="s">
        <v>229</v>
      </c>
      <c r="Y29" s="852"/>
      <c r="Z29" s="852"/>
      <c r="AA29" s="853"/>
      <c r="AB29" s="906"/>
      <c r="AC29" s="907"/>
      <c r="AD29" s="907"/>
      <c r="AE29" s="908"/>
      <c r="AF29" s="543"/>
      <c r="AG29" s="563" t="s">
        <v>230</v>
      </c>
      <c r="AH29" s="564" cm="1">
        <f t="array" ref="AH29">+IFERROR(VLOOKUP(AI23,'Formula limites'!BM4:BT8,_xlfn.IFS(AH27&gt;=60,1,AH27&gt;=45,2,AH27&gt;=30,3,AH27&gt;=0,4,AH27&gt;=-30,5,AH27&gt;=-45,6,AH27&gt;=-60,7)+1,0),"")</f>
        <v>0.46</v>
      </c>
      <c r="AI29" s="851" t="s">
        <v>229</v>
      </c>
      <c r="AJ29" s="852"/>
      <c r="AK29" s="852"/>
      <c r="AL29" s="853"/>
      <c r="AM29" s="906"/>
      <c r="AN29" s="907"/>
      <c r="AO29" s="907"/>
      <c r="AP29" s="908"/>
      <c r="AQ29" s="543"/>
    </row>
    <row r="30" spans="1:43" s="256" customFormat="1" ht="90.6" customHeight="1" thickBot="1" x14ac:dyDescent="0.3">
      <c r="A30" s="565"/>
      <c r="B30" s="913" t="s">
        <v>231</v>
      </c>
      <c r="C30" s="914"/>
      <c r="D30" s="915"/>
      <c r="E30" s="915"/>
      <c r="F30" s="916"/>
      <c r="G30" s="909"/>
      <c r="H30" s="910"/>
      <c r="I30" s="910"/>
      <c r="J30" s="911"/>
      <c r="K30" s="565"/>
      <c r="L30" s="913" t="s">
        <v>232</v>
      </c>
      <c r="M30" s="914"/>
      <c r="N30" s="915"/>
      <c r="O30" s="915"/>
      <c r="P30" s="916"/>
      <c r="Q30" s="909"/>
      <c r="R30" s="910"/>
      <c r="S30" s="910"/>
      <c r="T30" s="911"/>
      <c r="U30" s="565"/>
      <c r="V30" s="937" t="s">
        <v>233</v>
      </c>
      <c r="W30" s="938"/>
      <c r="X30" s="938"/>
      <c r="Y30" s="938"/>
      <c r="Z30" s="938"/>
      <c r="AA30" s="939"/>
      <c r="AB30" s="909"/>
      <c r="AC30" s="910"/>
      <c r="AD30" s="910"/>
      <c r="AE30" s="911"/>
      <c r="AF30" s="565"/>
      <c r="AG30" s="937" t="s">
        <v>234</v>
      </c>
      <c r="AH30" s="938"/>
      <c r="AI30" s="938"/>
      <c r="AJ30" s="938"/>
      <c r="AK30" s="938"/>
      <c r="AL30" s="939"/>
      <c r="AM30" s="909"/>
      <c r="AN30" s="910"/>
      <c r="AO30" s="910"/>
      <c r="AP30" s="911"/>
      <c r="AQ30" s="565"/>
    </row>
    <row r="31" spans="1:43" s="255" customFormat="1" ht="13.2" customHeight="1" x14ac:dyDescent="0.25">
      <c r="A31" s="546"/>
      <c r="B31" s="964"/>
      <c r="C31" s="964"/>
      <c r="D31" s="964"/>
      <c r="E31" s="964"/>
      <c r="F31" s="964"/>
      <c r="G31" s="964"/>
      <c r="H31" s="964"/>
      <c r="I31" s="964"/>
      <c r="J31" s="964"/>
      <c r="K31" s="546"/>
      <c r="L31" s="546"/>
      <c r="M31" s="546"/>
      <c r="N31" s="546"/>
      <c r="O31" s="546"/>
      <c r="P31" s="546"/>
      <c r="Q31" s="546"/>
      <c r="R31" s="546"/>
      <c r="S31" s="546"/>
      <c r="T31" s="546"/>
      <c r="U31" s="546"/>
      <c r="V31" s="546"/>
      <c r="W31" s="546"/>
      <c r="X31" s="546"/>
      <c r="Y31" s="546"/>
      <c r="Z31" s="546"/>
      <c r="AA31" s="546"/>
      <c r="AB31" s="546"/>
      <c r="AC31" s="546"/>
      <c r="AD31" s="546"/>
      <c r="AE31" s="546"/>
      <c r="AF31" s="546">
        <v>1</v>
      </c>
      <c r="AG31" s="546"/>
      <c r="AH31" s="546"/>
      <c r="AI31" s="546"/>
      <c r="AJ31" s="546"/>
      <c r="AK31" s="546"/>
      <c r="AL31" s="546"/>
      <c r="AM31" s="546"/>
      <c r="AN31" s="546"/>
      <c r="AO31" s="546"/>
      <c r="AP31" s="546"/>
      <c r="AQ31" s="546"/>
    </row>
    <row r="32" spans="1:43" s="255" customFormat="1" ht="13.2" customHeight="1" thickBot="1" x14ac:dyDescent="0.3">
      <c r="A32" s="546"/>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row>
    <row r="33" spans="1:43" ht="26.7" customHeight="1" x14ac:dyDescent="0.25">
      <c r="A33" s="543"/>
      <c r="B33" s="870" t="s">
        <v>235</v>
      </c>
      <c r="C33" s="871"/>
      <c r="D33" s="871"/>
      <c r="E33" s="871"/>
      <c r="F33" s="872"/>
      <c r="G33" s="873"/>
      <c r="H33" s="874"/>
      <c r="I33" s="874"/>
      <c r="J33" s="874"/>
      <c r="K33" s="874"/>
      <c r="L33" s="874"/>
      <c r="M33" s="874"/>
      <c r="N33" s="874"/>
      <c r="O33" s="874"/>
      <c r="P33" s="874"/>
      <c r="Q33" s="874"/>
      <c r="R33" s="874"/>
      <c r="S33" s="874"/>
      <c r="T33" s="875"/>
      <c r="U33" s="546"/>
      <c r="V33" s="546"/>
      <c r="W33" s="546"/>
      <c r="X33" s="546"/>
      <c r="Y33" s="546"/>
      <c r="Z33" s="546"/>
      <c r="AA33" s="546"/>
      <c r="AB33" s="543"/>
      <c r="AC33" s="543"/>
      <c r="AD33" s="543"/>
      <c r="AE33" s="543"/>
      <c r="AF33" s="546"/>
      <c r="AG33" s="546"/>
      <c r="AH33" s="546"/>
      <c r="AI33" s="546"/>
      <c r="AJ33" s="546"/>
      <c r="AK33" s="546"/>
      <c r="AL33" s="546"/>
      <c r="AM33" s="543"/>
      <c r="AN33" s="543"/>
      <c r="AO33" s="543"/>
      <c r="AP33" s="543"/>
      <c r="AQ33" s="543"/>
    </row>
    <row r="34" spans="1:43" ht="14.1" customHeight="1" x14ac:dyDescent="0.25">
      <c r="A34" s="543"/>
      <c r="B34" s="922" t="s">
        <v>236</v>
      </c>
      <c r="C34" s="923"/>
      <c r="D34" s="923"/>
      <c r="E34" s="931" t="s">
        <v>237</v>
      </c>
      <c r="F34" s="931"/>
      <c r="G34" s="919" t="s">
        <v>238</v>
      </c>
      <c r="H34" s="920"/>
      <c r="I34" s="920"/>
      <c r="J34" s="920"/>
      <c r="K34" s="920"/>
      <c r="L34" s="920"/>
      <c r="M34" s="920"/>
      <c r="N34" s="920"/>
      <c r="O34" s="920"/>
      <c r="P34" s="920"/>
      <c r="Q34" s="920"/>
      <c r="R34" s="920"/>
      <c r="S34" s="920"/>
      <c r="T34" s="921"/>
      <c r="U34" s="546"/>
      <c r="V34" s="546"/>
      <c r="W34" s="546"/>
      <c r="X34" s="546"/>
      <c r="Y34" s="546"/>
      <c r="Z34" s="546"/>
      <c r="AA34" s="546"/>
      <c r="AB34" s="546"/>
      <c r="AC34" s="543"/>
      <c r="AD34" s="543"/>
      <c r="AE34" s="543"/>
      <c r="AF34" s="546"/>
      <c r="AG34" s="546"/>
      <c r="AH34" s="546"/>
      <c r="AI34" s="546"/>
      <c r="AJ34" s="546"/>
      <c r="AK34" s="546"/>
      <c r="AL34" s="546"/>
      <c r="AM34" s="546"/>
      <c r="AN34" s="543"/>
      <c r="AO34" s="543"/>
      <c r="AP34" s="543"/>
      <c r="AQ34" s="543"/>
    </row>
    <row r="35" spans="1:43" x14ac:dyDescent="0.25">
      <c r="A35" s="543"/>
      <c r="B35" s="922" t="s">
        <v>239</v>
      </c>
      <c r="C35" s="923"/>
      <c r="D35" s="923"/>
      <c r="E35" s="931">
        <v>0.75</v>
      </c>
      <c r="F35" s="931"/>
      <c r="G35" s="920"/>
      <c r="H35" s="920"/>
      <c r="I35" s="920"/>
      <c r="J35" s="920"/>
      <c r="K35" s="920"/>
      <c r="L35" s="920"/>
      <c r="M35" s="920"/>
      <c r="N35" s="920"/>
      <c r="O35" s="920"/>
      <c r="P35" s="920"/>
      <c r="Q35" s="920"/>
      <c r="R35" s="920"/>
      <c r="S35" s="920"/>
      <c r="T35" s="921"/>
      <c r="U35" s="546"/>
      <c r="V35" s="546"/>
      <c r="W35" s="546"/>
      <c r="X35" s="546"/>
      <c r="Y35" s="546"/>
      <c r="Z35" s="546"/>
      <c r="AA35" s="546"/>
      <c r="AB35" s="546"/>
      <c r="AC35" s="543"/>
      <c r="AD35" s="543"/>
      <c r="AE35" s="543"/>
      <c r="AF35" s="546"/>
      <c r="AG35" s="546"/>
      <c r="AH35" s="546"/>
      <c r="AI35" s="546"/>
      <c r="AJ35" s="546"/>
      <c r="AK35" s="546"/>
      <c r="AL35" s="546"/>
      <c r="AM35" s="546"/>
      <c r="AN35" s="543"/>
      <c r="AO35" s="543"/>
      <c r="AP35" s="543"/>
      <c r="AQ35" s="543"/>
    </row>
    <row r="36" spans="1:43" x14ac:dyDescent="0.25">
      <c r="A36" s="543"/>
      <c r="B36" s="922" t="s">
        <v>240</v>
      </c>
      <c r="C36" s="923"/>
      <c r="D36" s="923"/>
      <c r="E36" s="930" cm="1">
        <f t="array" ref="E36">+IF(E34='Formula limites'!P22,_xlfn.IFS('A5'!E35&lt;='Formula limites'!Q22,'Formula limites'!T22,'A5'!E35&gt;='Formula limites'!R22,'Formula limites'!U22,'A5'!E35&lt;'Formula limites'!R22,'Formula limites'!T22+'Formula limites'!S22*('A5'!E35-'Formula limites'!T22)),_xlfn.IFS('A5'!E35&lt;='Formula limites'!Q23,'Formula limites'!V22,'A5'!E35&gt;='Formula limites'!R23,'Formula limites'!U23,'A5'!E35&lt;'Formula limites'!R23,'Formula limites'!V22+'Formula limites'!S23*('A5'!E35-'Formula limites'!T23)))</f>
        <v>0.25</v>
      </c>
      <c r="F36" s="930"/>
      <c r="G36" s="920"/>
      <c r="H36" s="920"/>
      <c r="I36" s="920"/>
      <c r="J36" s="920"/>
      <c r="K36" s="920"/>
      <c r="L36" s="920"/>
      <c r="M36" s="920"/>
      <c r="N36" s="920"/>
      <c r="O36" s="920"/>
      <c r="P36" s="920"/>
      <c r="Q36" s="920"/>
      <c r="R36" s="920"/>
      <c r="S36" s="920"/>
      <c r="T36" s="921"/>
      <c r="U36" s="546"/>
      <c r="V36" s="546"/>
      <c r="W36" s="546"/>
      <c r="X36" s="546"/>
      <c r="Y36" s="546"/>
      <c r="Z36" s="546"/>
      <c r="AA36" s="546"/>
      <c r="AB36" s="546"/>
      <c r="AC36" s="543"/>
      <c r="AD36" s="543"/>
      <c r="AE36" s="543"/>
      <c r="AF36" s="546"/>
      <c r="AG36" s="546"/>
      <c r="AH36" s="546"/>
      <c r="AI36" s="546"/>
      <c r="AJ36" s="546"/>
      <c r="AK36" s="546"/>
      <c r="AL36" s="546"/>
      <c r="AM36" s="546"/>
      <c r="AN36" s="543"/>
      <c r="AO36" s="543"/>
      <c r="AP36" s="543"/>
      <c r="AQ36" s="543"/>
    </row>
    <row r="37" spans="1:43" ht="14.1" customHeight="1" x14ac:dyDescent="0.25">
      <c r="A37" s="543"/>
      <c r="B37" s="922" t="s">
        <v>241</v>
      </c>
      <c r="C37" s="923"/>
      <c r="D37" s="923"/>
      <c r="E37" s="931" t="s">
        <v>242</v>
      </c>
      <c r="F37" s="931"/>
      <c r="G37" s="920"/>
      <c r="H37" s="920"/>
      <c r="I37" s="920"/>
      <c r="J37" s="920"/>
      <c r="K37" s="920"/>
      <c r="L37" s="920"/>
      <c r="M37" s="920"/>
      <c r="N37" s="920"/>
      <c r="O37" s="920"/>
      <c r="P37" s="920"/>
      <c r="Q37" s="920"/>
      <c r="R37" s="920"/>
      <c r="S37" s="920"/>
      <c r="T37" s="921"/>
      <c r="U37" s="546"/>
      <c r="V37" s="546"/>
      <c r="W37" s="546"/>
      <c r="X37" s="546"/>
      <c r="Y37" s="546"/>
      <c r="Z37" s="546"/>
      <c r="AA37" s="546"/>
      <c r="AB37" s="546"/>
      <c r="AC37" s="543"/>
      <c r="AD37" s="543"/>
      <c r="AE37" s="543"/>
      <c r="AF37" s="546"/>
      <c r="AG37" s="546"/>
      <c r="AH37" s="546"/>
      <c r="AI37" s="546"/>
      <c r="AJ37" s="546"/>
      <c r="AK37" s="546"/>
      <c r="AL37" s="546"/>
      <c r="AM37" s="546"/>
      <c r="AN37" s="543"/>
      <c r="AO37" s="543"/>
      <c r="AP37" s="543"/>
      <c r="AQ37" s="543"/>
    </row>
    <row r="38" spans="1:43" ht="14.1" customHeight="1" x14ac:dyDescent="0.25">
      <c r="A38" s="543"/>
      <c r="B38" s="922" t="s">
        <v>228</v>
      </c>
      <c r="C38" s="923"/>
      <c r="D38" s="923"/>
      <c r="E38" s="930">
        <f>C5</f>
        <v>0.67</v>
      </c>
      <c r="F38" s="930"/>
      <c r="G38" s="925" t="str">
        <f>IF(E38&lt;=$E$36,"Cumple","No cumple")</f>
        <v>No cumple</v>
      </c>
      <c r="H38" s="925"/>
      <c r="I38" s="925"/>
      <c r="J38" s="925"/>
      <c r="K38" s="865" t="s">
        <v>243</v>
      </c>
      <c r="L38" s="865"/>
      <c r="M38" s="865"/>
      <c r="N38" s="865"/>
      <c r="O38" s="865"/>
      <c r="P38" s="865"/>
      <c r="Q38" s="865"/>
      <c r="R38" s="865"/>
      <c r="S38" s="865"/>
      <c r="T38" s="866"/>
      <c r="U38" s="546"/>
      <c r="V38" s="546"/>
      <c r="W38" s="546"/>
      <c r="X38" s="546"/>
      <c r="Y38" s="546"/>
      <c r="Z38" s="546"/>
      <c r="AA38" s="546"/>
      <c r="AB38" s="546"/>
      <c r="AC38" s="543"/>
      <c r="AD38" s="543"/>
      <c r="AE38" s="543"/>
      <c r="AF38" s="546"/>
      <c r="AG38" s="546"/>
      <c r="AH38" s="546"/>
      <c r="AI38" s="546"/>
      <c r="AJ38" s="546"/>
      <c r="AK38" s="546"/>
      <c r="AL38" s="546"/>
      <c r="AM38" s="546"/>
      <c r="AN38" s="543"/>
      <c r="AO38" s="543"/>
      <c r="AP38" s="543"/>
      <c r="AQ38" s="543"/>
    </row>
    <row r="39" spans="1:43" ht="14.1" customHeight="1" x14ac:dyDescent="0.25">
      <c r="A39" s="543"/>
      <c r="B39" s="922" t="s">
        <v>244</v>
      </c>
      <c r="C39" s="923"/>
      <c r="D39" s="923"/>
      <c r="E39" s="924">
        <f>+IF(E37='Formula limites'!AW33,'Formula limites'!AX36,IF(E37='Formula limites'!AW38,'Formula limites'!AX42,C5))</f>
        <v>0.67</v>
      </c>
      <c r="F39" s="924"/>
      <c r="G39" s="925" t="str">
        <f t="shared" ref="G39:G40" si="0">IF(E39&lt;=$E$36,"Cumple","No cumple")</f>
        <v>No cumple</v>
      </c>
      <c r="H39" s="925"/>
      <c r="I39" s="925"/>
      <c r="J39" s="925"/>
      <c r="K39" s="865" t="s">
        <v>245</v>
      </c>
      <c r="L39" s="865"/>
      <c r="M39" s="865"/>
      <c r="N39" s="865"/>
      <c r="O39" s="865"/>
      <c r="P39" s="865"/>
      <c r="Q39" s="865"/>
      <c r="R39" s="865"/>
      <c r="S39" s="865"/>
      <c r="T39" s="866"/>
      <c r="U39" s="546"/>
      <c r="V39" s="546"/>
      <c r="W39" s="546"/>
      <c r="X39" s="546"/>
      <c r="Y39" s="546"/>
      <c r="Z39" s="546"/>
      <c r="AA39" s="546"/>
      <c r="AB39" s="546"/>
      <c r="AC39" s="543"/>
      <c r="AD39" s="543"/>
      <c r="AE39" s="543"/>
      <c r="AF39" s="546"/>
      <c r="AG39" s="546"/>
      <c r="AH39" s="546"/>
      <c r="AI39" s="546"/>
      <c r="AJ39" s="546"/>
      <c r="AK39" s="546"/>
      <c r="AL39" s="546"/>
      <c r="AM39" s="546"/>
      <c r="AN39" s="543"/>
      <c r="AO39" s="543"/>
      <c r="AP39" s="543"/>
      <c r="AQ39" s="543"/>
    </row>
    <row r="40" spans="1:43" ht="14.1" customHeight="1" thickBot="1" x14ac:dyDescent="0.3">
      <c r="A40" s="543"/>
      <c r="B40" s="926" t="s">
        <v>246</v>
      </c>
      <c r="C40" s="927"/>
      <c r="D40" s="927"/>
      <c r="E40" s="928">
        <f>IF(D19='Formula limites'!Y5,'A5'!E39,I19*((1-C9)*E39+C9*0.04*C10*C11))</f>
        <v>0.43531200000000009</v>
      </c>
      <c r="F40" s="928"/>
      <c r="G40" s="929" t="str">
        <f t="shared" si="0"/>
        <v>No cumple</v>
      </c>
      <c r="H40" s="929"/>
      <c r="I40" s="929"/>
      <c r="J40" s="929"/>
      <c r="K40" s="917" t="s">
        <v>247</v>
      </c>
      <c r="L40" s="917"/>
      <c r="M40" s="917"/>
      <c r="N40" s="917"/>
      <c r="O40" s="917"/>
      <c r="P40" s="917"/>
      <c r="Q40" s="917"/>
      <c r="R40" s="917"/>
      <c r="S40" s="917"/>
      <c r="T40" s="918"/>
      <c r="U40" s="546"/>
      <c r="V40" s="546"/>
      <c r="W40" s="546"/>
      <c r="X40" s="546"/>
      <c r="Y40" s="546"/>
      <c r="Z40" s="546"/>
      <c r="AA40" s="546"/>
      <c r="AB40" s="546"/>
      <c r="AC40" s="543"/>
      <c r="AD40" s="543"/>
      <c r="AE40" s="543"/>
      <c r="AF40" s="546"/>
      <c r="AG40" s="546"/>
      <c r="AH40" s="546"/>
      <c r="AI40" s="546"/>
      <c r="AJ40" s="546"/>
      <c r="AK40" s="546"/>
      <c r="AL40" s="546"/>
      <c r="AM40" s="546"/>
      <c r="AN40" s="543"/>
      <c r="AO40" s="543"/>
      <c r="AP40" s="543"/>
      <c r="AQ40" s="543"/>
    </row>
    <row r="41" spans="1:43" x14ac:dyDescent="0.25">
      <c r="A41" s="543"/>
      <c r="B41" s="550"/>
      <c r="C41" s="544"/>
      <c r="D41" s="543"/>
      <c r="E41" s="545"/>
      <c r="F41" s="543"/>
      <c r="G41" s="546"/>
      <c r="H41" s="546"/>
      <c r="I41" s="546"/>
      <c r="J41" s="546"/>
      <c r="K41" s="546"/>
      <c r="L41" s="546"/>
      <c r="M41" s="546"/>
      <c r="N41" s="546"/>
      <c r="O41" s="546"/>
      <c r="P41" s="546"/>
      <c r="Q41" s="546"/>
      <c r="R41" s="543"/>
      <c r="S41" s="543"/>
      <c r="T41" s="543"/>
      <c r="U41" s="546"/>
      <c r="V41" s="546"/>
      <c r="W41" s="546"/>
      <c r="X41" s="546"/>
      <c r="Y41" s="546"/>
      <c r="Z41" s="546"/>
      <c r="AA41" s="546"/>
      <c r="AB41" s="546"/>
      <c r="AC41" s="543"/>
      <c r="AD41" s="543"/>
      <c r="AE41" s="543"/>
      <c r="AF41" s="546"/>
      <c r="AG41" s="546"/>
      <c r="AH41" s="546"/>
      <c r="AI41" s="546"/>
      <c r="AJ41" s="546"/>
      <c r="AK41" s="546"/>
      <c r="AL41" s="546"/>
      <c r="AM41" s="546"/>
      <c r="AN41" s="543"/>
      <c r="AO41" s="543"/>
      <c r="AP41" s="543"/>
      <c r="AQ41" s="543"/>
    </row>
    <row r="42" spans="1:43" x14ac:dyDescent="0.25">
      <c r="A42" s="543"/>
      <c r="B42" s="550"/>
      <c r="C42" s="544"/>
      <c r="D42" s="543"/>
      <c r="E42" s="545"/>
      <c r="F42" s="543"/>
      <c r="G42" s="546"/>
      <c r="H42" s="546"/>
      <c r="I42" s="546"/>
      <c r="J42" s="546"/>
      <c r="K42" s="546"/>
      <c r="L42" s="546"/>
      <c r="M42" s="546"/>
      <c r="N42" s="546"/>
      <c r="O42" s="546"/>
      <c r="P42" s="546"/>
      <c r="Q42" s="546"/>
      <c r="R42" s="543"/>
      <c r="S42" s="543"/>
      <c r="T42" s="543"/>
      <c r="U42" s="546"/>
      <c r="V42" s="546"/>
      <c r="W42" s="546"/>
      <c r="X42" s="546"/>
      <c r="Y42" s="546"/>
      <c r="Z42" s="546"/>
      <c r="AA42" s="546"/>
      <c r="AB42" s="546"/>
      <c r="AC42" s="543"/>
      <c r="AD42" s="543"/>
      <c r="AE42" s="543"/>
      <c r="AF42" s="546"/>
      <c r="AG42" s="546"/>
      <c r="AH42" s="546"/>
      <c r="AI42" s="546"/>
      <c r="AJ42" s="546"/>
      <c r="AK42" s="546"/>
      <c r="AL42" s="546"/>
      <c r="AM42" s="546"/>
      <c r="AN42" s="543"/>
      <c r="AO42" s="543"/>
      <c r="AP42" s="543"/>
      <c r="AQ42" s="543"/>
    </row>
    <row r="43" spans="1:43" x14ac:dyDescent="0.25">
      <c r="A43" s="543"/>
      <c r="B43" s="550"/>
      <c r="C43" s="544"/>
      <c r="D43" s="543"/>
      <c r="E43" s="545"/>
      <c r="F43" s="543"/>
      <c r="G43" s="546"/>
      <c r="H43" s="546"/>
      <c r="I43" s="546"/>
      <c r="J43" s="546"/>
      <c r="K43" s="546"/>
      <c r="L43" s="546"/>
      <c r="M43" s="546"/>
      <c r="N43" s="546"/>
      <c r="O43" s="546"/>
      <c r="P43" s="546"/>
      <c r="Q43" s="546"/>
      <c r="R43" s="543"/>
      <c r="S43" s="543"/>
      <c r="T43" s="543"/>
      <c r="U43" s="546"/>
      <c r="V43" s="546"/>
      <c r="W43" s="546"/>
      <c r="X43" s="546"/>
      <c r="Y43" s="546"/>
      <c r="Z43" s="546"/>
      <c r="AA43" s="546"/>
      <c r="AB43" s="546"/>
      <c r="AC43" s="543"/>
      <c r="AD43" s="543"/>
      <c r="AE43" s="543"/>
      <c r="AF43" s="546"/>
      <c r="AG43" s="546"/>
      <c r="AH43" s="546"/>
      <c r="AI43" s="546"/>
      <c r="AJ43" s="546"/>
      <c r="AK43" s="546"/>
      <c r="AL43" s="546"/>
      <c r="AM43" s="546"/>
      <c r="AN43" s="543"/>
      <c r="AO43" s="543"/>
      <c r="AP43" s="543"/>
      <c r="AQ43" s="543"/>
    </row>
    <row r="44" spans="1:43" x14ac:dyDescent="0.25">
      <c r="A44" s="543"/>
      <c r="B44" s="550"/>
      <c r="C44" s="544"/>
      <c r="D44" s="543"/>
      <c r="E44" s="545"/>
      <c r="F44" s="543"/>
      <c r="G44" s="546"/>
      <c r="H44" s="546"/>
      <c r="I44" s="546"/>
      <c r="J44" s="546"/>
      <c r="K44" s="546"/>
      <c r="L44" s="546"/>
      <c r="M44" s="546"/>
      <c r="N44" s="546"/>
      <c r="O44" s="546"/>
      <c r="P44" s="546"/>
      <c r="Q44" s="546"/>
      <c r="R44" s="543"/>
      <c r="S44" s="543"/>
      <c r="T44" s="543"/>
      <c r="U44" s="546"/>
      <c r="V44" s="546"/>
      <c r="W44" s="546"/>
      <c r="X44" s="546"/>
      <c r="Y44" s="546"/>
      <c r="Z44" s="546"/>
      <c r="AA44" s="546"/>
      <c r="AB44" s="546"/>
      <c r="AC44" s="543"/>
      <c r="AD44" s="543"/>
      <c r="AE44" s="543"/>
      <c r="AF44" s="546"/>
      <c r="AG44" s="546"/>
      <c r="AH44" s="546"/>
      <c r="AI44" s="546"/>
      <c r="AJ44" s="546"/>
      <c r="AK44" s="546"/>
      <c r="AL44" s="546"/>
      <c r="AM44" s="546"/>
      <c r="AN44" s="543"/>
      <c r="AO44" s="543"/>
      <c r="AP44" s="543"/>
      <c r="AQ44" s="543"/>
    </row>
    <row r="45" spans="1:43" x14ac:dyDescent="0.25">
      <c r="A45" s="543"/>
      <c r="B45" s="550"/>
      <c r="C45" s="544"/>
      <c r="D45" s="543"/>
      <c r="E45" s="545"/>
      <c r="F45" s="543"/>
      <c r="G45" s="546"/>
      <c r="H45" s="546"/>
      <c r="I45" s="546"/>
      <c r="J45" s="546"/>
      <c r="K45" s="546"/>
      <c r="L45" s="546"/>
      <c r="M45" s="546"/>
      <c r="N45" s="546"/>
      <c r="O45" s="546"/>
      <c r="P45" s="546"/>
      <c r="Q45" s="546"/>
      <c r="R45" s="543"/>
      <c r="S45" s="543"/>
      <c r="T45" s="543"/>
      <c r="U45" s="546"/>
      <c r="V45" s="546"/>
      <c r="W45" s="546"/>
      <c r="X45" s="546"/>
      <c r="Y45" s="546"/>
      <c r="Z45" s="546"/>
      <c r="AA45" s="546"/>
      <c r="AB45" s="546"/>
      <c r="AC45" s="543"/>
      <c r="AD45" s="543"/>
      <c r="AE45" s="543"/>
      <c r="AF45" s="546"/>
      <c r="AG45" s="546"/>
      <c r="AH45" s="546"/>
      <c r="AI45" s="546"/>
      <c r="AJ45" s="546"/>
      <c r="AK45" s="546"/>
      <c r="AL45" s="546"/>
      <c r="AM45" s="546"/>
      <c r="AN45" s="543"/>
      <c r="AO45" s="543"/>
      <c r="AP45" s="543"/>
      <c r="AQ45" s="543"/>
    </row>
    <row r="46" spans="1:43" x14ac:dyDescent="0.25">
      <c r="A46" s="543"/>
      <c r="B46" s="550"/>
      <c r="C46" s="544"/>
      <c r="D46" s="543"/>
      <c r="E46" s="545"/>
      <c r="F46" s="543"/>
      <c r="G46" s="546"/>
      <c r="H46" s="546"/>
      <c r="I46" s="546"/>
      <c r="J46" s="546"/>
      <c r="K46" s="546"/>
      <c r="L46" s="546"/>
      <c r="M46" s="546"/>
      <c r="N46" s="546"/>
      <c r="O46" s="546"/>
      <c r="P46" s="546"/>
      <c r="Q46" s="546"/>
      <c r="R46" s="543"/>
      <c r="S46" s="543"/>
      <c r="T46" s="543"/>
      <c r="U46" s="546"/>
      <c r="V46" s="546"/>
      <c r="W46" s="546"/>
      <c r="X46" s="546"/>
      <c r="Y46" s="546"/>
      <c r="Z46" s="546"/>
      <c r="AA46" s="546"/>
      <c r="AB46" s="546"/>
      <c r="AC46" s="543"/>
      <c r="AD46" s="543"/>
      <c r="AE46" s="543"/>
      <c r="AF46" s="546"/>
      <c r="AG46" s="546"/>
      <c r="AH46" s="546"/>
      <c r="AI46" s="546"/>
      <c r="AJ46" s="546"/>
      <c r="AK46" s="546"/>
      <c r="AL46" s="546"/>
      <c r="AM46" s="546"/>
      <c r="AN46" s="543"/>
      <c r="AO46" s="543"/>
      <c r="AP46" s="543"/>
      <c r="AQ46" s="543"/>
    </row>
    <row r="47" spans="1:43" x14ac:dyDescent="0.25">
      <c r="A47" s="543"/>
      <c r="B47" s="550"/>
      <c r="C47" s="544"/>
      <c r="D47" s="543"/>
      <c r="E47" s="545"/>
      <c r="F47" s="543"/>
      <c r="G47" s="546"/>
      <c r="H47" s="546"/>
      <c r="I47" s="546"/>
      <c r="J47" s="546"/>
      <c r="K47" s="546"/>
      <c r="L47" s="546"/>
      <c r="M47" s="546"/>
      <c r="N47" s="546"/>
      <c r="O47" s="546"/>
      <c r="P47" s="546"/>
      <c r="Q47" s="546"/>
      <c r="R47" s="543"/>
      <c r="S47" s="543"/>
      <c r="T47" s="543"/>
      <c r="U47" s="546"/>
      <c r="V47" s="546"/>
      <c r="W47" s="546"/>
      <c r="X47" s="546"/>
      <c r="Y47" s="546"/>
      <c r="Z47" s="546"/>
      <c r="AA47" s="546"/>
      <c r="AB47" s="546"/>
      <c r="AC47" s="543"/>
      <c r="AD47" s="543"/>
      <c r="AE47" s="543"/>
      <c r="AF47" s="546"/>
      <c r="AG47" s="546"/>
      <c r="AH47" s="546"/>
      <c r="AI47" s="546"/>
      <c r="AJ47" s="546"/>
      <c r="AK47" s="546"/>
      <c r="AL47" s="546"/>
      <c r="AM47" s="546"/>
      <c r="AN47" s="543"/>
      <c r="AO47" s="543"/>
      <c r="AP47" s="543"/>
      <c r="AQ47" s="543"/>
    </row>
    <row r="48" spans="1:43" x14ac:dyDescent="0.25">
      <c r="A48" s="543"/>
      <c r="B48" s="550"/>
      <c r="C48" s="544"/>
      <c r="D48" s="543"/>
      <c r="E48" s="545"/>
      <c r="F48" s="543"/>
      <c r="G48" s="546"/>
      <c r="H48" s="546"/>
      <c r="I48" s="546"/>
      <c r="J48" s="546"/>
      <c r="K48" s="546"/>
      <c r="L48" s="546"/>
      <c r="M48" s="546"/>
      <c r="N48" s="546"/>
      <c r="O48" s="546"/>
      <c r="P48" s="546"/>
      <c r="Q48" s="546"/>
      <c r="R48" s="543"/>
      <c r="S48" s="543"/>
      <c r="T48" s="543"/>
      <c r="U48" s="546"/>
      <c r="V48" s="546"/>
      <c r="W48" s="546"/>
      <c r="X48" s="546"/>
      <c r="Y48" s="546"/>
      <c r="Z48" s="546"/>
      <c r="AA48" s="546"/>
      <c r="AB48" s="546"/>
      <c r="AC48" s="543"/>
      <c r="AD48" s="543"/>
      <c r="AE48" s="543"/>
      <c r="AF48" s="546"/>
      <c r="AG48" s="546"/>
      <c r="AH48" s="546"/>
      <c r="AI48" s="546"/>
      <c r="AJ48" s="546"/>
      <c r="AK48" s="546"/>
      <c r="AL48" s="546"/>
      <c r="AM48" s="546"/>
      <c r="AN48" s="543"/>
      <c r="AO48" s="543"/>
      <c r="AP48" s="543"/>
      <c r="AQ48" s="543"/>
    </row>
    <row r="49" spans="1:43" x14ac:dyDescent="0.25">
      <c r="A49" s="543"/>
      <c r="B49" s="550"/>
      <c r="C49" s="544"/>
      <c r="D49" s="543"/>
      <c r="E49" s="545"/>
      <c r="F49" s="543"/>
      <c r="G49" s="546"/>
      <c r="H49" s="546"/>
      <c r="I49" s="546"/>
      <c r="J49" s="546"/>
      <c r="K49" s="546"/>
      <c r="L49" s="546"/>
      <c r="M49" s="546"/>
      <c r="N49" s="546"/>
      <c r="O49" s="546"/>
      <c r="P49" s="546"/>
      <c r="Q49" s="546"/>
      <c r="R49" s="543"/>
      <c r="S49" s="543"/>
      <c r="T49" s="543"/>
      <c r="U49" s="546"/>
      <c r="V49" s="546"/>
      <c r="W49" s="546"/>
      <c r="X49" s="546"/>
      <c r="Y49" s="546"/>
      <c r="Z49" s="546"/>
      <c r="AA49" s="546"/>
      <c r="AB49" s="546"/>
      <c r="AC49" s="543"/>
      <c r="AD49" s="543"/>
      <c r="AE49" s="543"/>
      <c r="AF49" s="546"/>
      <c r="AG49" s="546"/>
      <c r="AH49" s="546"/>
      <c r="AI49" s="546"/>
      <c r="AJ49" s="546"/>
      <c r="AK49" s="546"/>
      <c r="AL49" s="546"/>
      <c r="AM49" s="546"/>
      <c r="AN49" s="543"/>
      <c r="AO49" s="543"/>
      <c r="AP49" s="543"/>
      <c r="AQ49" s="543"/>
    </row>
    <row r="50" spans="1:43" x14ac:dyDescent="0.25">
      <c r="A50" s="543"/>
      <c r="B50" s="550"/>
      <c r="C50" s="544"/>
      <c r="D50" s="543"/>
      <c r="E50" s="545"/>
      <c r="F50" s="543"/>
      <c r="G50" s="546"/>
      <c r="H50" s="546"/>
      <c r="I50" s="546"/>
      <c r="J50" s="546"/>
      <c r="K50" s="546"/>
      <c r="L50" s="546"/>
      <c r="M50" s="546"/>
      <c r="N50" s="546"/>
      <c r="O50" s="546"/>
      <c r="P50" s="546"/>
      <c r="Q50" s="546"/>
      <c r="R50" s="543"/>
      <c r="S50" s="543"/>
      <c r="T50" s="543"/>
      <c r="U50" s="546"/>
      <c r="V50" s="546"/>
      <c r="W50" s="546"/>
      <c r="X50" s="546"/>
      <c r="Y50" s="546"/>
      <c r="Z50" s="546"/>
      <c r="AA50" s="546"/>
      <c r="AB50" s="546"/>
      <c r="AC50" s="543"/>
      <c r="AD50" s="543"/>
      <c r="AE50" s="543"/>
      <c r="AF50" s="546"/>
      <c r="AG50" s="546"/>
      <c r="AH50" s="546"/>
      <c r="AI50" s="546"/>
      <c r="AJ50" s="546"/>
      <c r="AK50" s="546"/>
      <c r="AL50" s="546"/>
      <c r="AM50" s="546"/>
      <c r="AN50" s="543"/>
      <c r="AO50" s="543"/>
      <c r="AP50" s="543"/>
      <c r="AQ50" s="543"/>
    </row>
    <row r="51" spans="1:43" x14ac:dyDescent="0.25">
      <c r="A51" s="543"/>
      <c r="B51" s="550"/>
      <c r="C51" s="544"/>
      <c r="D51" s="543"/>
      <c r="E51" s="545"/>
      <c r="F51" s="543"/>
      <c r="G51" s="546"/>
      <c r="H51" s="546"/>
      <c r="I51" s="546"/>
      <c r="J51" s="546"/>
      <c r="K51" s="546"/>
      <c r="L51" s="546"/>
      <c r="M51" s="546"/>
      <c r="N51" s="546"/>
      <c r="O51" s="546"/>
      <c r="P51" s="546"/>
      <c r="Q51" s="546"/>
      <c r="R51" s="543"/>
      <c r="S51" s="543"/>
      <c r="T51" s="543"/>
      <c r="U51" s="546"/>
      <c r="V51" s="546"/>
      <c r="W51" s="546"/>
      <c r="X51" s="546"/>
      <c r="Y51" s="546"/>
      <c r="Z51" s="546"/>
      <c r="AA51" s="546"/>
      <c r="AB51" s="546"/>
      <c r="AC51" s="543"/>
      <c r="AD51" s="543"/>
      <c r="AE51" s="543"/>
      <c r="AF51" s="546"/>
      <c r="AG51" s="546"/>
      <c r="AH51" s="546"/>
      <c r="AI51" s="546"/>
      <c r="AJ51" s="546"/>
      <c r="AK51" s="546"/>
      <c r="AL51" s="546"/>
      <c r="AM51" s="546"/>
      <c r="AN51" s="543"/>
      <c r="AO51" s="543"/>
      <c r="AP51" s="543"/>
      <c r="AQ51" s="543"/>
    </row>
    <row r="52" spans="1:43" x14ac:dyDescent="0.25">
      <c r="A52" s="543"/>
      <c r="B52" s="550"/>
      <c r="C52" s="544"/>
      <c r="D52" s="543"/>
      <c r="E52" s="545"/>
      <c r="F52" s="543"/>
      <c r="G52" s="546"/>
      <c r="H52" s="546"/>
      <c r="I52" s="546"/>
      <c r="J52" s="546"/>
      <c r="K52" s="546"/>
      <c r="L52" s="546"/>
      <c r="M52" s="546"/>
      <c r="N52" s="546"/>
      <c r="O52" s="546"/>
      <c r="P52" s="546"/>
      <c r="Q52" s="546"/>
      <c r="R52" s="543"/>
      <c r="S52" s="543"/>
      <c r="T52" s="543"/>
      <c r="U52" s="546"/>
      <c r="V52" s="546"/>
      <c r="W52" s="546"/>
      <c r="X52" s="546"/>
      <c r="Y52" s="546"/>
      <c r="Z52" s="546"/>
      <c r="AA52" s="546"/>
      <c r="AB52" s="546"/>
      <c r="AC52" s="543"/>
      <c r="AD52" s="543"/>
      <c r="AE52" s="543"/>
      <c r="AF52" s="546"/>
      <c r="AG52" s="546"/>
      <c r="AH52" s="546"/>
      <c r="AI52" s="546"/>
      <c r="AJ52" s="546"/>
      <c r="AK52" s="546"/>
      <c r="AL52" s="546"/>
      <c r="AM52" s="546"/>
      <c r="AN52" s="543"/>
      <c r="AO52" s="543"/>
      <c r="AP52" s="543"/>
      <c r="AQ52" s="543"/>
    </row>
    <row r="53" spans="1:43" x14ac:dyDescent="0.25">
      <c r="A53" s="543"/>
      <c r="B53" s="550"/>
      <c r="C53" s="544"/>
      <c r="D53" s="543"/>
      <c r="E53" s="545"/>
      <c r="F53" s="543"/>
      <c r="G53" s="546"/>
      <c r="H53" s="546"/>
      <c r="I53" s="546"/>
      <c r="J53" s="546"/>
      <c r="K53" s="546"/>
      <c r="L53" s="546"/>
      <c r="M53" s="546"/>
      <c r="N53" s="546"/>
      <c r="O53" s="546"/>
      <c r="P53" s="546"/>
      <c r="Q53" s="546"/>
      <c r="R53" s="543"/>
      <c r="S53" s="543"/>
      <c r="T53" s="543"/>
      <c r="U53" s="546"/>
      <c r="V53" s="546"/>
      <c r="W53" s="546"/>
      <c r="X53" s="546"/>
      <c r="Y53" s="546"/>
      <c r="Z53" s="546"/>
      <c r="AA53" s="546"/>
      <c r="AB53" s="546"/>
      <c r="AC53" s="543"/>
      <c r="AD53" s="543"/>
      <c r="AE53" s="543"/>
      <c r="AF53" s="546"/>
      <c r="AG53" s="546"/>
      <c r="AH53" s="546"/>
      <c r="AI53" s="546"/>
      <c r="AJ53" s="546"/>
      <c r="AK53" s="546"/>
      <c r="AL53" s="546"/>
      <c r="AM53" s="546"/>
      <c r="AN53" s="543"/>
      <c r="AO53" s="543"/>
      <c r="AP53" s="543"/>
      <c r="AQ53" s="543"/>
    </row>
    <row r="54" spans="1:43" x14ac:dyDescent="0.25">
      <c r="A54" s="543"/>
      <c r="B54" s="550"/>
      <c r="C54" s="544"/>
      <c r="D54" s="543"/>
      <c r="E54" s="545"/>
      <c r="F54" s="543"/>
      <c r="G54" s="546"/>
      <c r="H54" s="546"/>
      <c r="I54" s="546"/>
      <c r="J54" s="546"/>
      <c r="K54" s="546"/>
      <c r="L54" s="546"/>
      <c r="M54" s="546"/>
      <c r="N54" s="546"/>
      <c r="O54" s="546"/>
      <c r="P54" s="546"/>
      <c r="Q54" s="546"/>
      <c r="R54" s="543"/>
      <c r="S54" s="543"/>
      <c r="T54" s="543"/>
      <c r="U54" s="546"/>
      <c r="V54" s="546"/>
      <c r="W54" s="546"/>
      <c r="X54" s="546"/>
      <c r="Y54" s="546"/>
      <c r="Z54" s="546"/>
      <c r="AA54" s="546"/>
      <c r="AB54" s="546"/>
      <c r="AC54" s="543"/>
      <c r="AD54" s="543"/>
      <c r="AE54" s="543"/>
      <c r="AF54" s="546"/>
      <c r="AG54" s="546"/>
      <c r="AH54" s="546"/>
      <c r="AI54" s="546"/>
      <c r="AJ54" s="546"/>
      <c r="AK54" s="546"/>
      <c r="AL54" s="546"/>
      <c r="AM54" s="546"/>
      <c r="AN54" s="543"/>
      <c r="AO54" s="543"/>
      <c r="AP54" s="543"/>
      <c r="AQ54" s="543"/>
    </row>
    <row r="55" spans="1:43" x14ac:dyDescent="0.25">
      <c r="A55" s="543"/>
      <c r="B55" s="550"/>
      <c r="C55" s="544"/>
      <c r="D55" s="543"/>
      <c r="E55" s="545"/>
      <c r="F55" s="543"/>
      <c r="G55" s="546"/>
      <c r="H55" s="546"/>
      <c r="I55" s="546"/>
      <c r="J55" s="546"/>
      <c r="K55" s="546"/>
      <c r="L55" s="546"/>
      <c r="M55" s="546"/>
      <c r="N55" s="546"/>
      <c r="O55" s="546"/>
      <c r="P55" s="546"/>
      <c r="Q55" s="546"/>
      <c r="R55" s="543"/>
      <c r="S55" s="543"/>
      <c r="T55" s="543"/>
      <c r="U55" s="546"/>
      <c r="V55" s="546"/>
      <c r="W55" s="546"/>
      <c r="X55" s="546"/>
      <c r="Y55" s="546"/>
      <c r="Z55" s="546"/>
      <c r="AA55" s="546"/>
      <c r="AB55" s="546"/>
      <c r="AC55" s="543"/>
      <c r="AD55" s="543"/>
      <c r="AE55" s="543"/>
      <c r="AF55" s="546"/>
      <c r="AG55" s="546"/>
      <c r="AH55" s="546"/>
      <c r="AI55" s="546"/>
      <c r="AJ55" s="546"/>
      <c r="AK55" s="546"/>
      <c r="AL55" s="546"/>
      <c r="AM55" s="546"/>
      <c r="AN55" s="543"/>
      <c r="AO55" s="543"/>
      <c r="AP55" s="543"/>
      <c r="AQ55" s="543"/>
    </row>
    <row r="56" spans="1:43" x14ac:dyDescent="0.25">
      <c r="A56" s="543"/>
      <c r="B56" s="550"/>
      <c r="C56" s="544"/>
      <c r="D56" s="543"/>
      <c r="E56" s="545"/>
      <c r="F56" s="543"/>
      <c r="G56" s="546"/>
      <c r="H56" s="546"/>
      <c r="I56" s="546"/>
      <c r="J56" s="546"/>
      <c r="K56" s="546"/>
      <c r="L56" s="546"/>
      <c r="M56" s="546"/>
      <c r="N56" s="546"/>
      <c r="O56" s="546"/>
      <c r="P56" s="546"/>
      <c r="Q56" s="546"/>
      <c r="R56" s="543"/>
      <c r="S56" s="543"/>
      <c r="T56" s="543"/>
      <c r="U56" s="546"/>
      <c r="V56" s="546"/>
      <c r="W56" s="546"/>
      <c r="X56" s="546"/>
      <c r="Y56" s="546"/>
      <c r="Z56" s="546"/>
      <c r="AA56" s="546"/>
      <c r="AB56" s="546"/>
      <c r="AC56" s="543"/>
      <c r="AD56" s="543"/>
      <c r="AE56" s="543"/>
      <c r="AF56" s="546"/>
      <c r="AG56" s="546"/>
      <c r="AH56" s="546"/>
      <c r="AI56" s="546"/>
      <c r="AJ56" s="546"/>
      <c r="AK56" s="546"/>
      <c r="AL56" s="546"/>
      <c r="AM56" s="546"/>
      <c r="AN56" s="543"/>
      <c r="AO56" s="543"/>
      <c r="AP56" s="543"/>
      <c r="AQ56" s="543"/>
    </row>
    <row r="57" spans="1:43" x14ac:dyDescent="0.25">
      <c r="A57" s="543"/>
      <c r="B57" s="550"/>
      <c r="C57" s="544"/>
      <c r="D57" s="543"/>
      <c r="E57" s="545"/>
      <c r="F57" s="543"/>
      <c r="G57" s="546"/>
      <c r="H57" s="546"/>
      <c r="I57" s="546"/>
      <c r="J57" s="546"/>
      <c r="K57" s="546"/>
      <c r="L57" s="546"/>
      <c r="M57" s="546"/>
      <c r="N57" s="546"/>
      <c r="O57" s="546"/>
      <c r="P57" s="546"/>
      <c r="Q57" s="546"/>
      <c r="R57" s="543"/>
      <c r="S57" s="543"/>
      <c r="T57" s="543"/>
      <c r="U57" s="546"/>
      <c r="V57" s="546"/>
      <c r="W57" s="546"/>
      <c r="X57" s="546"/>
      <c r="Y57" s="546"/>
      <c r="Z57" s="546"/>
      <c r="AA57" s="546"/>
      <c r="AB57" s="546"/>
      <c r="AC57" s="543"/>
      <c r="AD57" s="543"/>
      <c r="AE57" s="543"/>
      <c r="AF57" s="546"/>
      <c r="AG57" s="546"/>
      <c r="AH57" s="546"/>
      <c r="AI57" s="546"/>
      <c r="AJ57" s="546"/>
      <c r="AK57" s="546"/>
      <c r="AL57" s="546"/>
      <c r="AM57" s="546"/>
      <c r="AN57" s="543"/>
      <c r="AO57" s="543"/>
      <c r="AP57" s="543"/>
      <c r="AQ57" s="543"/>
    </row>
    <row r="58" spans="1:43" x14ac:dyDescent="0.25">
      <c r="A58" s="543"/>
      <c r="B58" s="550"/>
      <c r="C58" s="544"/>
      <c r="D58" s="543"/>
      <c r="E58" s="545"/>
      <c r="F58" s="543"/>
      <c r="G58" s="546"/>
      <c r="H58" s="546"/>
      <c r="I58" s="546"/>
      <c r="J58" s="546"/>
      <c r="K58" s="546"/>
      <c r="L58" s="546"/>
      <c r="M58" s="546"/>
      <c r="N58" s="546"/>
      <c r="O58" s="546"/>
      <c r="P58" s="546"/>
      <c r="Q58" s="546"/>
      <c r="R58" s="543"/>
      <c r="S58" s="543"/>
      <c r="T58" s="543"/>
      <c r="U58" s="546"/>
      <c r="V58" s="546"/>
      <c r="W58" s="546"/>
      <c r="X58" s="546"/>
      <c r="Y58" s="546"/>
      <c r="Z58" s="546"/>
      <c r="AA58" s="546"/>
      <c r="AB58" s="546"/>
      <c r="AC58" s="543"/>
      <c r="AD58" s="543"/>
      <c r="AE58" s="543"/>
      <c r="AF58" s="546"/>
      <c r="AG58" s="546"/>
      <c r="AH58" s="546"/>
      <c r="AI58" s="546"/>
      <c r="AJ58" s="546"/>
      <c r="AK58" s="546"/>
      <c r="AL58" s="546"/>
      <c r="AM58" s="546"/>
      <c r="AN58" s="543"/>
      <c r="AO58" s="543"/>
      <c r="AP58" s="543"/>
      <c r="AQ58" s="543"/>
    </row>
    <row r="59" spans="1:43" x14ac:dyDescent="0.25">
      <c r="A59" s="543"/>
      <c r="B59" s="550"/>
      <c r="C59" s="544"/>
      <c r="D59" s="543"/>
      <c r="E59" s="545"/>
      <c r="F59" s="543"/>
      <c r="G59" s="546"/>
      <c r="H59" s="546"/>
      <c r="I59" s="546"/>
      <c r="J59" s="546"/>
      <c r="K59" s="546"/>
      <c r="L59" s="546"/>
      <c r="M59" s="546"/>
      <c r="N59" s="546"/>
      <c r="O59" s="546"/>
      <c r="P59" s="546"/>
      <c r="Q59" s="546"/>
      <c r="R59" s="543"/>
      <c r="S59" s="543"/>
      <c r="T59" s="543"/>
      <c r="U59" s="546"/>
      <c r="V59" s="546"/>
      <c r="W59" s="546"/>
      <c r="X59" s="546"/>
      <c r="Y59" s="546"/>
      <c r="Z59" s="546"/>
      <c r="AA59" s="546"/>
      <c r="AB59" s="546"/>
      <c r="AC59" s="543"/>
      <c r="AD59" s="543"/>
      <c r="AE59" s="543"/>
      <c r="AF59" s="546"/>
      <c r="AG59" s="546"/>
      <c r="AH59" s="546"/>
      <c r="AI59" s="546"/>
      <c r="AJ59" s="546"/>
      <c r="AK59" s="546"/>
      <c r="AL59" s="546"/>
      <c r="AM59" s="546"/>
      <c r="AN59" s="543"/>
      <c r="AO59" s="543"/>
      <c r="AP59" s="543"/>
      <c r="AQ59" s="543"/>
    </row>
    <row r="60" spans="1:43" x14ac:dyDescent="0.25">
      <c r="A60" s="543"/>
      <c r="B60" s="550"/>
      <c r="C60" s="544"/>
      <c r="D60" s="543"/>
      <c r="E60" s="545"/>
      <c r="F60" s="543"/>
      <c r="G60" s="546"/>
      <c r="H60" s="546"/>
      <c r="I60" s="546"/>
      <c r="J60" s="546"/>
      <c r="K60" s="546"/>
      <c r="L60" s="546"/>
      <c r="M60" s="546"/>
      <c r="N60" s="546"/>
      <c r="O60" s="546"/>
      <c r="P60" s="546"/>
      <c r="Q60" s="546"/>
      <c r="R60" s="543"/>
      <c r="S60" s="543"/>
      <c r="T60" s="543"/>
      <c r="U60" s="546"/>
      <c r="V60" s="546"/>
      <c r="W60" s="546"/>
      <c r="X60" s="546"/>
      <c r="Y60" s="546"/>
      <c r="Z60" s="546"/>
      <c r="AA60" s="546"/>
      <c r="AB60" s="546"/>
      <c r="AC60" s="543"/>
      <c r="AD60" s="543"/>
      <c r="AE60" s="543"/>
      <c r="AF60" s="546"/>
      <c r="AG60" s="546"/>
      <c r="AH60" s="546"/>
      <c r="AI60" s="546"/>
      <c r="AJ60" s="546"/>
      <c r="AK60" s="546"/>
      <c r="AL60" s="546"/>
      <c r="AM60" s="546"/>
      <c r="AN60" s="543"/>
      <c r="AO60" s="543"/>
      <c r="AP60" s="543"/>
      <c r="AQ60" s="543"/>
    </row>
    <row r="61" spans="1:43" x14ac:dyDescent="0.25">
      <c r="A61" s="543"/>
      <c r="B61" s="550"/>
      <c r="C61" s="544"/>
      <c r="D61" s="543"/>
      <c r="E61" s="545"/>
      <c r="F61" s="543"/>
      <c r="G61" s="546"/>
      <c r="H61" s="546"/>
      <c r="I61" s="546"/>
      <c r="J61" s="546"/>
      <c r="K61" s="546"/>
      <c r="L61" s="546"/>
      <c r="M61" s="546"/>
      <c r="N61" s="546"/>
      <c r="O61" s="546"/>
      <c r="P61" s="546"/>
      <c r="Q61" s="546"/>
      <c r="R61" s="543"/>
      <c r="S61" s="543"/>
      <c r="T61" s="543"/>
      <c r="U61" s="546"/>
      <c r="V61" s="546"/>
      <c r="W61" s="546"/>
      <c r="X61" s="546"/>
      <c r="Y61" s="546"/>
      <c r="Z61" s="546"/>
      <c r="AA61" s="546"/>
      <c r="AB61" s="546"/>
      <c r="AC61" s="543"/>
      <c r="AD61" s="543"/>
      <c r="AE61" s="543"/>
      <c r="AF61" s="546"/>
      <c r="AG61" s="546"/>
      <c r="AH61" s="546"/>
      <c r="AI61" s="546"/>
      <c r="AJ61" s="546"/>
      <c r="AK61" s="546"/>
      <c r="AL61" s="546"/>
      <c r="AM61" s="546"/>
      <c r="AN61" s="543"/>
      <c r="AO61" s="543"/>
      <c r="AP61" s="543"/>
      <c r="AQ61" s="543"/>
    </row>
    <row r="62" spans="1:43" x14ac:dyDescent="0.25">
      <c r="A62" s="543"/>
      <c r="B62" s="550"/>
      <c r="C62" s="544"/>
      <c r="D62" s="543"/>
      <c r="E62" s="545"/>
      <c r="F62" s="543"/>
      <c r="G62" s="546"/>
      <c r="H62" s="546"/>
      <c r="I62" s="546"/>
      <c r="J62" s="546"/>
      <c r="K62" s="546"/>
      <c r="L62" s="546"/>
      <c r="M62" s="546"/>
      <c r="N62" s="546"/>
      <c r="O62" s="546"/>
      <c r="P62" s="546"/>
      <c r="Q62" s="546"/>
      <c r="R62" s="543"/>
      <c r="S62" s="543"/>
      <c r="T62" s="543"/>
      <c r="U62" s="546"/>
      <c r="V62" s="546"/>
      <c r="W62" s="546"/>
      <c r="X62" s="546"/>
      <c r="Y62" s="546"/>
      <c r="Z62" s="546"/>
      <c r="AA62" s="546"/>
      <c r="AB62" s="546"/>
      <c r="AC62" s="543"/>
      <c r="AD62" s="543"/>
      <c r="AE62" s="543"/>
      <c r="AF62" s="546"/>
      <c r="AG62" s="546"/>
      <c r="AH62" s="546"/>
      <c r="AI62" s="546"/>
      <c r="AJ62" s="546"/>
      <c r="AK62" s="546"/>
      <c r="AL62" s="546"/>
      <c r="AM62" s="546"/>
      <c r="AN62" s="543"/>
      <c r="AO62" s="543"/>
      <c r="AP62" s="543"/>
      <c r="AQ62" s="543"/>
    </row>
    <row r="63" spans="1:43" x14ac:dyDescent="0.25">
      <c r="A63" s="543"/>
      <c r="B63" s="550"/>
      <c r="C63" s="544"/>
      <c r="D63" s="543"/>
      <c r="E63" s="545"/>
      <c r="F63" s="543"/>
      <c r="G63" s="546"/>
      <c r="H63" s="546"/>
      <c r="I63" s="546"/>
      <c r="J63" s="546"/>
      <c r="K63" s="546"/>
      <c r="L63" s="546"/>
      <c r="M63" s="546"/>
      <c r="N63" s="546"/>
      <c r="O63" s="546"/>
      <c r="P63" s="546"/>
      <c r="Q63" s="546"/>
      <c r="R63" s="543"/>
      <c r="S63" s="543"/>
      <c r="T63" s="543"/>
      <c r="U63" s="546"/>
      <c r="V63" s="546"/>
      <c r="W63" s="546"/>
      <c r="X63" s="546"/>
      <c r="Y63" s="546"/>
      <c r="Z63" s="546"/>
      <c r="AA63" s="546"/>
      <c r="AB63" s="546"/>
      <c r="AC63" s="543"/>
      <c r="AD63" s="543"/>
      <c r="AE63" s="543"/>
      <c r="AF63" s="546"/>
      <c r="AG63" s="546"/>
      <c r="AH63" s="546"/>
      <c r="AI63" s="546"/>
      <c r="AJ63" s="546"/>
      <c r="AK63" s="546"/>
      <c r="AL63" s="546"/>
      <c r="AM63" s="546"/>
      <c r="AN63" s="543"/>
      <c r="AO63" s="543"/>
      <c r="AP63" s="543"/>
      <c r="AQ63" s="543"/>
    </row>
    <row r="64" spans="1:43" x14ac:dyDescent="0.25">
      <c r="A64" s="543"/>
      <c r="B64" s="550"/>
      <c r="C64" s="544"/>
      <c r="D64" s="543"/>
      <c r="E64" s="545"/>
      <c r="F64" s="543"/>
      <c r="G64" s="546"/>
      <c r="H64" s="546"/>
      <c r="I64" s="546"/>
      <c r="J64" s="546"/>
      <c r="K64" s="546"/>
      <c r="L64" s="546"/>
      <c r="M64" s="546"/>
      <c r="N64" s="546"/>
      <c r="O64" s="546"/>
      <c r="P64" s="546"/>
      <c r="Q64" s="546"/>
      <c r="R64" s="543"/>
      <c r="S64" s="543"/>
      <c r="T64" s="543"/>
      <c r="U64" s="546"/>
      <c r="V64" s="546"/>
      <c r="W64" s="546"/>
      <c r="X64" s="546"/>
      <c r="Y64" s="546"/>
      <c r="Z64" s="546"/>
      <c r="AA64" s="546"/>
      <c r="AB64" s="546"/>
      <c r="AC64" s="543"/>
      <c r="AD64" s="543"/>
      <c r="AE64" s="543"/>
      <c r="AF64" s="546"/>
      <c r="AG64" s="546"/>
      <c r="AH64" s="546"/>
      <c r="AI64" s="546"/>
      <c r="AJ64" s="546"/>
      <c r="AK64" s="546"/>
      <c r="AL64" s="546"/>
      <c r="AM64" s="546"/>
      <c r="AN64" s="543"/>
      <c r="AO64" s="543"/>
      <c r="AP64" s="543"/>
      <c r="AQ64" s="543"/>
    </row>
    <row r="65" spans="1:43" x14ac:dyDescent="0.25">
      <c r="A65" s="543"/>
      <c r="B65" s="550"/>
      <c r="C65" s="544"/>
      <c r="D65" s="543"/>
      <c r="E65" s="545"/>
      <c r="F65" s="543"/>
      <c r="G65" s="546"/>
      <c r="H65" s="546"/>
      <c r="I65" s="546"/>
      <c r="J65" s="546"/>
      <c r="K65" s="546"/>
      <c r="L65" s="546"/>
      <c r="M65" s="546"/>
      <c r="N65" s="546"/>
      <c r="O65" s="546"/>
      <c r="P65" s="546"/>
      <c r="Q65" s="546"/>
      <c r="R65" s="543"/>
      <c r="S65" s="543"/>
      <c r="T65" s="543"/>
      <c r="U65" s="546"/>
      <c r="V65" s="546"/>
      <c r="W65" s="546"/>
      <c r="X65" s="546"/>
      <c r="Y65" s="546"/>
      <c r="Z65" s="546"/>
      <c r="AA65" s="546"/>
      <c r="AB65" s="546"/>
      <c r="AC65" s="543"/>
      <c r="AD65" s="543"/>
      <c r="AE65" s="543"/>
      <c r="AF65" s="546"/>
      <c r="AG65" s="546"/>
      <c r="AH65" s="546"/>
      <c r="AI65" s="546"/>
      <c r="AJ65" s="546"/>
      <c r="AK65" s="546"/>
      <c r="AL65" s="546"/>
      <c r="AM65" s="546"/>
      <c r="AN65" s="543"/>
      <c r="AO65" s="543"/>
      <c r="AP65" s="543"/>
      <c r="AQ65" s="543"/>
    </row>
    <row r="66" spans="1:43" x14ac:dyDescent="0.25">
      <c r="A66" s="543"/>
      <c r="B66" s="550"/>
      <c r="C66" s="544"/>
      <c r="D66" s="543"/>
      <c r="E66" s="545"/>
      <c r="F66" s="543"/>
      <c r="G66" s="546"/>
      <c r="H66" s="546"/>
      <c r="I66" s="546"/>
      <c r="J66" s="546"/>
      <c r="K66" s="546"/>
      <c r="L66" s="546"/>
      <c r="M66" s="546"/>
      <c r="N66" s="546"/>
      <c r="O66" s="546"/>
      <c r="P66" s="546"/>
      <c r="Q66" s="546"/>
      <c r="R66" s="543"/>
      <c r="S66" s="543"/>
      <c r="T66" s="543"/>
      <c r="U66" s="546"/>
      <c r="V66" s="546"/>
      <c r="W66" s="546"/>
      <c r="X66" s="546"/>
      <c r="Y66" s="546"/>
      <c r="Z66" s="546"/>
      <c r="AA66" s="546"/>
      <c r="AB66" s="546"/>
      <c r="AC66" s="543"/>
      <c r="AD66" s="543"/>
      <c r="AE66" s="543"/>
      <c r="AF66" s="546"/>
      <c r="AG66" s="546"/>
      <c r="AH66" s="546"/>
      <c r="AI66" s="546"/>
      <c r="AJ66" s="546"/>
      <c r="AK66" s="546"/>
      <c r="AL66" s="546"/>
      <c r="AM66" s="546"/>
      <c r="AN66" s="543"/>
      <c r="AO66" s="543"/>
      <c r="AP66" s="543"/>
      <c r="AQ66" s="543"/>
    </row>
    <row r="67" spans="1:43" x14ac:dyDescent="0.25">
      <c r="A67" s="543"/>
      <c r="B67" s="550"/>
      <c r="C67" s="544"/>
      <c r="D67" s="543"/>
      <c r="E67" s="545"/>
      <c r="F67" s="543"/>
      <c r="G67" s="546"/>
      <c r="H67" s="546"/>
      <c r="I67" s="546"/>
      <c r="J67" s="546"/>
      <c r="K67" s="546"/>
      <c r="L67" s="546"/>
      <c r="M67" s="546"/>
      <c r="N67" s="546"/>
      <c r="O67" s="546"/>
      <c r="P67" s="546"/>
      <c r="Q67" s="546"/>
      <c r="R67" s="543"/>
      <c r="S67" s="543"/>
      <c r="T67" s="543"/>
      <c r="U67" s="546"/>
      <c r="V67" s="546"/>
      <c r="W67" s="546"/>
      <c r="X67" s="546"/>
      <c r="Y67" s="546"/>
      <c r="Z67" s="546"/>
      <c r="AA67" s="546"/>
      <c r="AB67" s="546"/>
      <c r="AC67" s="543"/>
      <c r="AD67" s="543"/>
      <c r="AE67" s="543"/>
      <c r="AF67" s="546"/>
      <c r="AG67" s="546"/>
      <c r="AH67" s="546"/>
      <c r="AI67" s="546"/>
      <c r="AJ67" s="546"/>
      <c r="AK67" s="546"/>
      <c r="AL67" s="546"/>
      <c r="AM67" s="546"/>
      <c r="AN67" s="543"/>
      <c r="AO67" s="543"/>
      <c r="AP67" s="543"/>
      <c r="AQ67" s="543"/>
    </row>
    <row r="68" spans="1:43" x14ac:dyDescent="0.25">
      <c r="A68" s="543"/>
      <c r="B68" s="550"/>
      <c r="C68" s="544"/>
      <c r="D68" s="543"/>
      <c r="E68" s="545"/>
      <c r="F68" s="543"/>
      <c r="G68" s="546"/>
      <c r="H68" s="546"/>
      <c r="I68" s="546"/>
      <c r="J68" s="546"/>
      <c r="K68" s="546"/>
      <c r="L68" s="546"/>
      <c r="M68" s="546"/>
      <c r="N68" s="546"/>
      <c r="O68" s="546"/>
      <c r="P68" s="546"/>
      <c r="Q68" s="546"/>
      <c r="R68" s="543"/>
      <c r="S68" s="543"/>
      <c r="T68" s="543"/>
      <c r="U68" s="546"/>
      <c r="V68" s="546"/>
      <c r="W68" s="546"/>
      <c r="X68" s="546"/>
      <c r="Y68" s="546"/>
      <c r="Z68" s="546"/>
      <c r="AA68" s="546"/>
      <c r="AB68" s="546"/>
      <c r="AC68" s="543"/>
      <c r="AD68" s="543"/>
      <c r="AE68" s="543"/>
      <c r="AF68" s="546"/>
      <c r="AG68" s="546"/>
      <c r="AH68" s="546"/>
      <c r="AI68" s="546"/>
      <c r="AJ68" s="546"/>
      <c r="AK68" s="546"/>
      <c r="AL68" s="546"/>
      <c r="AM68" s="546"/>
      <c r="AN68" s="543"/>
      <c r="AO68" s="543"/>
      <c r="AP68" s="543"/>
      <c r="AQ68" s="543"/>
    </row>
    <row r="69" spans="1:43" x14ac:dyDescent="0.25">
      <c r="A69" s="543"/>
      <c r="B69" s="550"/>
      <c r="C69" s="544"/>
      <c r="D69" s="543"/>
      <c r="E69" s="545"/>
      <c r="F69" s="543"/>
      <c r="G69" s="546"/>
      <c r="H69" s="546"/>
      <c r="I69" s="546"/>
      <c r="J69" s="546"/>
      <c r="K69" s="546"/>
      <c r="L69" s="546"/>
      <c r="M69" s="546"/>
      <c r="N69" s="546"/>
      <c r="O69" s="546"/>
      <c r="P69" s="546"/>
      <c r="Q69" s="546"/>
      <c r="R69" s="543"/>
      <c r="S69" s="543"/>
      <c r="T69" s="543"/>
      <c r="U69" s="546"/>
      <c r="V69" s="546"/>
      <c r="W69" s="546"/>
      <c r="X69" s="546"/>
      <c r="Y69" s="546"/>
      <c r="Z69" s="546"/>
      <c r="AA69" s="546"/>
      <c r="AB69" s="546"/>
      <c r="AC69" s="543"/>
      <c r="AD69" s="543"/>
      <c r="AE69" s="543"/>
      <c r="AF69" s="546"/>
      <c r="AG69" s="546"/>
      <c r="AH69" s="546"/>
      <c r="AI69" s="546"/>
      <c r="AJ69" s="546"/>
      <c r="AK69" s="546"/>
      <c r="AL69" s="546"/>
      <c r="AM69" s="546"/>
      <c r="AN69" s="543"/>
      <c r="AO69" s="543"/>
      <c r="AP69" s="543"/>
      <c r="AQ69" s="543"/>
    </row>
    <row r="70" spans="1:43" x14ac:dyDescent="0.25">
      <c r="A70" s="543"/>
      <c r="B70" s="550"/>
      <c r="C70" s="544"/>
      <c r="D70" s="543"/>
      <c r="E70" s="545"/>
      <c r="F70" s="543"/>
      <c r="G70" s="546"/>
      <c r="H70" s="546"/>
      <c r="I70" s="546"/>
      <c r="J70" s="546"/>
      <c r="K70" s="546"/>
      <c r="L70" s="546"/>
      <c r="M70" s="546"/>
      <c r="N70" s="546"/>
      <c r="O70" s="546"/>
      <c r="P70" s="546"/>
      <c r="Q70" s="546"/>
      <c r="R70" s="543"/>
      <c r="S70" s="543"/>
      <c r="T70" s="543"/>
      <c r="U70" s="546"/>
      <c r="V70" s="546"/>
      <c r="W70" s="546"/>
      <c r="X70" s="546"/>
      <c r="Y70" s="546"/>
      <c r="Z70" s="546"/>
      <c r="AA70" s="546"/>
      <c r="AB70" s="546"/>
      <c r="AC70" s="543"/>
      <c r="AD70" s="543"/>
      <c r="AE70" s="543"/>
      <c r="AF70" s="546"/>
      <c r="AG70" s="546"/>
      <c r="AH70" s="546"/>
      <c r="AI70" s="546"/>
      <c r="AJ70" s="546"/>
      <c r="AK70" s="546"/>
      <c r="AL70" s="546"/>
      <c r="AM70" s="546"/>
      <c r="AN70" s="543"/>
      <c r="AO70" s="543"/>
      <c r="AP70" s="543"/>
      <c r="AQ70" s="543"/>
    </row>
    <row r="71" spans="1:43" x14ac:dyDescent="0.25">
      <c r="A71" s="543"/>
      <c r="B71" s="550"/>
      <c r="C71" s="544"/>
      <c r="D71" s="543"/>
      <c r="E71" s="545"/>
      <c r="F71" s="543"/>
      <c r="G71" s="546"/>
      <c r="H71" s="546"/>
      <c r="I71" s="546"/>
      <c r="J71" s="546"/>
      <c r="K71" s="546"/>
      <c r="L71" s="546"/>
      <c r="M71" s="546"/>
      <c r="N71" s="546"/>
      <c r="O71" s="546"/>
      <c r="P71" s="546"/>
      <c r="Q71" s="546"/>
      <c r="R71" s="543"/>
      <c r="S71" s="543"/>
      <c r="T71" s="543"/>
      <c r="U71" s="546"/>
      <c r="V71" s="546"/>
      <c r="W71" s="546"/>
      <c r="X71" s="546"/>
      <c r="Y71" s="546"/>
      <c r="Z71" s="546"/>
      <c r="AA71" s="546"/>
      <c r="AB71" s="546"/>
      <c r="AC71" s="543"/>
      <c r="AD71" s="543"/>
      <c r="AE71" s="543"/>
      <c r="AF71" s="546"/>
      <c r="AG71" s="546"/>
      <c r="AH71" s="546"/>
      <c r="AI71" s="546"/>
      <c r="AJ71" s="546"/>
      <c r="AK71" s="546"/>
      <c r="AL71" s="546"/>
      <c r="AM71" s="546"/>
      <c r="AN71" s="543"/>
      <c r="AO71" s="543"/>
      <c r="AP71" s="543"/>
      <c r="AQ71" s="543"/>
    </row>
    <row r="72" spans="1:43" x14ac:dyDescent="0.25">
      <c r="A72" s="543"/>
      <c r="B72" s="550"/>
      <c r="C72" s="544"/>
      <c r="D72" s="543"/>
      <c r="E72" s="545"/>
      <c r="F72" s="543"/>
      <c r="G72" s="546"/>
      <c r="H72" s="546"/>
      <c r="I72" s="546"/>
      <c r="J72" s="546"/>
      <c r="K72" s="546"/>
      <c r="L72" s="546"/>
      <c r="M72" s="546"/>
      <c r="N72" s="546"/>
      <c r="O72" s="546"/>
      <c r="P72" s="546"/>
      <c r="Q72" s="546"/>
      <c r="R72" s="543"/>
      <c r="S72" s="543"/>
      <c r="T72" s="543"/>
      <c r="U72" s="546"/>
      <c r="V72" s="546"/>
      <c r="W72" s="546"/>
      <c r="X72" s="546"/>
      <c r="Y72" s="546"/>
      <c r="Z72" s="546"/>
      <c r="AA72" s="546"/>
      <c r="AB72" s="546"/>
      <c r="AC72" s="543"/>
      <c r="AD72" s="543"/>
      <c r="AE72" s="543"/>
      <c r="AF72" s="546"/>
      <c r="AG72" s="546"/>
      <c r="AH72" s="546"/>
      <c r="AI72" s="546"/>
      <c r="AJ72" s="546"/>
      <c r="AK72" s="546"/>
      <c r="AL72" s="546"/>
      <c r="AM72" s="546"/>
      <c r="AN72" s="543"/>
      <c r="AO72" s="543"/>
      <c r="AP72" s="543"/>
      <c r="AQ72" s="543"/>
    </row>
    <row r="73" spans="1:43" x14ac:dyDescent="0.25">
      <c r="A73" s="543"/>
      <c r="B73" s="550"/>
      <c r="C73" s="544"/>
      <c r="D73" s="543"/>
      <c r="E73" s="545"/>
      <c r="F73" s="543"/>
      <c r="G73" s="546"/>
      <c r="H73" s="546"/>
      <c r="I73" s="546"/>
      <c r="J73" s="546"/>
      <c r="K73" s="546"/>
      <c r="L73" s="546"/>
      <c r="M73" s="546"/>
      <c r="N73" s="546"/>
      <c r="O73" s="546"/>
      <c r="P73" s="546"/>
      <c r="Q73" s="546"/>
      <c r="R73" s="543"/>
      <c r="S73" s="543"/>
      <c r="T73" s="543"/>
      <c r="U73" s="546"/>
      <c r="V73" s="546"/>
      <c r="W73" s="546"/>
      <c r="X73" s="546"/>
      <c r="Y73" s="546"/>
      <c r="Z73" s="546"/>
      <c r="AA73" s="546"/>
      <c r="AB73" s="546"/>
      <c r="AC73" s="543"/>
      <c r="AD73" s="543"/>
      <c r="AE73" s="543"/>
      <c r="AF73" s="546"/>
      <c r="AG73" s="546"/>
      <c r="AH73" s="546"/>
      <c r="AI73" s="546"/>
      <c r="AJ73" s="546"/>
      <c r="AK73" s="546"/>
      <c r="AL73" s="546"/>
      <c r="AM73" s="546"/>
      <c r="AN73" s="543"/>
      <c r="AO73" s="543"/>
      <c r="AP73" s="543"/>
      <c r="AQ73" s="543"/>
    </row>
    <row r="74" spans="1:43" x14ac:dyDescent="0.25">
      <c r="A74" s="543"/>
      <c r="B74" s="550"/>
      <c r="C74" s="544"/>
      <c r="D74" s="543"/>
      <c r="E74" s="545"/>
      <c r="F74" s="543"/>
      <c r="G74" s="546"/>
      <c r="H74" s="546"/>
      <c r="I74" s="546"/>
      <c r="J74" s="546"/>
      <c r="K74" s="546"/>
      <c r="L74" s="546"/>
      <c r="M74" s="546"/>
      <c r="N74" s="546"/>
      <c r="O74" s="546"/>
      <c r="P74" s="546"/>
      <c r="Q74" s="546"/>
      <c r="R74" s="543"/>
      <c r="S74" s="543"/>
      <c r="T74" s="543"/>
      <c r="U74" s="546"/>
      <c r="V74" s="546"/>
      <c r="W74" s="546"/>
      <c r="X74" s="546"/>
      <c r="Y74" s="546"/>
      <c r="Z74" s="546"/>
      <c r="AA74" s="546"/>
      <c r="AB74" s="546"/>
      <c r="AC74" s="543"/>
      <c r="AD74" s="543"/>
      <c r="AE74" s="543"/>
      <c r="AF74" s="546"/>
      <c r="AG74" s="546"/>
      <c r="AH74" s="546"/>
      <c r="AI74" s="546"/>
      <c r="AJ74" s="546"/>
      <c r="AK74" s="546"/>
      <c r="AL74" s="546"/>
      <c r="AM74" s="546"/>
      <c r="AN74" s="543"/>
      <c r="AO74" s="543"/>
      <c r="AP74" s="543"/>
      <c r="AQ74" s="543"/>
    </row>
    <row r="75" spans="1:43" x14ac:dyDescent="0.25">
      <c r="A75" s="543"/>
      <c r="B75" s="550"/>
      <c r="C75" s="544"/>
      <c r="D75" s="543"/>
      <c r="E75" s="545"/>
      <c r="F75" s="543"/>
      <c r="G75" s="546"/>
      <c r="H75" s="546"/>
      <c r="I75" s="546"/>
      <c r="J75" s="546"/>
      <c r="K75" s="546"/>
      <c r="L75" s="546"/>
      <c r="M75" s="546"/>
      <c r="N75" s="546"/>
      <c r="O75" s="546"/>
      <c r="P75" s="546"/>
      <c r="Q75" s="546"/>
      <c r="R75" s="543"/>
      <c r="S75" s="543"/>
      <c r="T75" s="543"/>
      <c r="U75" s="546"/>
      <c r="V75" s="546"/>
      <c r="W75" s="546"/>
      <c r="X75" s="546"/>
      <c r="Y75" s="546"/>
      <c r="Z75" s="546"/>
      <c r="AA75" s="546"/>
      <c r="AB75" s="546"/>
      <c r="AC75" s="543"/>
      <c r="AD75" s="543"/>
      <c r="AE75" s="543"/>
      <c r="AF75" s="546"/>
      <c r="AG75" s="546"/>
      <c r="AH75" s="546"/>
      <c r="AI75" s="546"/>
      <c r="AJ75" s="546"/>
      <c r="AK75" s="546"/>
      <c r="AL75" s="546"/>
      <c r="AM75" s="546"/>
      <c r="AN75" s="543"/>
      <c r="AO75" s="543"/>
      <c r="AP75" s="543"/>
      <c r="AQ75" s="543"/>
    </row>
    <row r="76" spans="1:43" x14ac:dyDescent="0.25">
      <c r="A76" s="543"/>
      <c r="B76" s="550"/>
      <c r="C76" s="544"/>
      <c r="D76" s="543"/>
      <c r="E76" s="545"/>
      <c r="F76" s="543"/>
      <c r="G76" s="546"/>
      <c r="H76" s="546"/>
      <c r="I76" s="546"/>
      <c r="J76" s="546"/>
      <c r="K76" s="546"/>
      <c r="L76" s="546"/>
      <c r="M76" s="546"/>
      <c r="N76" s="546"/>
      <c r="O76" s="546"/>
      <c r="P76" s="546"/>
      <c r="Q76" s="546"/>
      <c r="R76" s="543"/>
      <c r="S76" s="543"/>
      <c r="T76" s="543"/>
      <c r="U76" s="546"/>
      <c r="V76" s="546"/>
      <c r="W76" s="546"/>
      <c r="X76" s="546"/>
      <c r="Y76" s="546"/>
      <c r="Z76" s="546"/>
      <c r="AA76" s="546"/>
      <c r="AB76" s="546"/>
      <c r="AC76" s="543"/>
      <c r="AD76" s="543"/>
      <c r="AE76" s="543"/>
      <c r="AF76" s="546"/>
      <c r="AG76" s="546"/>
      <c r="AH76" s="546"/>
      <c r="AI76" s="546"/>
      <c r="AJ76" s="546"/>
      <c r="AK76" s="546"/>
      <c r="AL76" s="546"/>
      <c r="AM76" s="546"/>
      <c r="AN76" s="543"/>
      <c r="AO76" s="543"/>
      <c r="AP76" s="543"/>
      <c r="AQ76" s="543"/>
    </row>
    <row r="77" spans="1:43" x14ac:dyDescent="0.25">
      <c r="A77" s="543"/>
      <c r="B77" s="550"/>
      <c r="C77" s="544"/>
      <c r="D77" s="543"/>
      <c r="E77" s="545"/>
      <c r="F77" s="543"/>
      <c r="G77" s="546"/>
      <c r="H77" s="546"/>
      <c r="I77" s="546"/>
      <c r="J77" s="546"/>
      <c r="K77" s="546"/>
      <c r="L77" s="546"/>
      <c r="M77" s="546"/>
      <c r="N77" s="546"/>
      <c r="O77" s="546"/>
      <c r="P77" s="546"/>
      <c r="Q77" s="546"/>
      <c r="R77" s="543"/>
      <c r="S77" s="543"/>
      <c r="T77" s="543"/>
      <c r="U77" s="546"/>
      <c r="V77" s="546"/>
      <c r="W77" s="546"/>
      <c r="X77" s="546"/>
      <c r="Y77" s="546"/>
      <c r="Z77" s="546"/>
      <c r="AA77" s="546"/>
      <c r="AB77" s="546"/>
      <c r="AC77" s="543"/>
      <c r="AD77" s="543"/>
      <c r="AE77" s="543"/>
      <c r="AF77" s="546"/>
      <c r="AG77" s="546"/>
      <c r="AH77" s="546"/>
      <c r="AI77" s="546"/>
      <c r="AJ77" s="546"/>
      <c r="AK77" s="546"/>
      <c r="AL77" s="546"/>
      <c r="AM77" s="546"/>
      <c r="AN77" s="543"/>
      <c r="AO77" s="543"/>
      <c r="AP77" s="543"/>
      <c r="AQ77" s="543"/>
    </row>
    <row r="78" spans="1:43" x14ac:dyDescent="0.25">
      <c r="A78" s="543"/>
      <c r="B78" s="550"/>
      <c r="C78" s="544"/>
      <c r="D78" s="543"/>
      <c r="E78" s="545"/>
      <c r="F78" s="543"/>
      <c r="G78" s="546"/>
      <c r="H78" s="546"/>
      <c r="I78" s="546"/>
      <c r="J78" s="546"/>
      <c r="K78" s="546"/>
      <c r="L78" s="546"/>
      <c r="M78" s="546"/>
      <c r="N78" s="546"/>
      <c r="O78" s="546"/>
      <c r="P78" s="546"/>
      <c r="Q78" s="546"/>
      <c r="R78" s="543"/>
      <c r="S78" s="543"/>
      <c r="T78" s="543"/>
      <c r="U78" s="546"/>
      <c r="V78" s="546"/>
      <c r="W78" s="546"/>
      <c r="X78" s="546"/>
      <c r="Y78" s="546"/>
      <c r="Z78" s="546"/>
      <c r="AA78" s="546"/>
      <c r="AB78" s="546"/>
      <c r="AC78" s="543"/>
      <c r="AD78" s="543"/>
      <c r="AE78" s="543"/>
      <c r="AF78" s="546"/>
      <c r="AG78" s="546"/>
      <c r="AH78" s="546"/>
      <c r="AI78" s="546"/>
      <c r="AJ78" s="546"/>
      <c r="AK78" s="546"/>
      <c r="AL78" s="546"/>
      <c r="AM78" s="546"/>
      <c r="AN78" s="543"/>
      <c r="AO78" s="543"/>
      <c r="AP78" s="543"/>
      <c r="AQ78" s="543"/>
    </row>
    <row r="79" spans="1:43" x14ac:dyDescent="0.25">
      <c r="A79" s="543"/>
      <c r="B79" s="550"/>
      <c r="C79" s="544"/>
      <c r="D79" s="543"/>
      <c r="E79" s="545"/>
      <c r="F79" s="543"/>
      <c r="G79" s="546"/>
      <c r="H79" s="546"/>
      <c r="I79" s="546"/>
      <c r="J79" s="546"/>
      <c r="K79" s="546"/>
      <c r="L79" s="546"/>
      <c r="M79" s="546"/>
      <c r="N79" s="546"/>
      <c r="O79" s="546"/>
      <c r="P79" s="546"/>
      <c r="Q79" s="546"/>
      <c r="R79" s="543"/>
      <c r="S79" s="543"/>
      <c r="T79" s="543"/>
      <c r="U79" s="546"/>
      <c r="V79" s="546"/>
      <c r="W79" s="546"/>
      <c r="X79" s="546"/>
      <c r="Y79" s="546"/>
      <c r="Z79" s="546"/>
      <c r="AA79" s="546"/>
      <c r="AB79" s="546"/>
      <c r="AC79" s="543"/>
      <c r="AD79" s="543"/>
      <c r="AE79" s="543"/>
      <c r="AF79" s="546"/>
      <c r="AG79" s="546"/>
      <c r="AH79" s="546"/>
      <c r="AI79" s="546"/>
      <c r="AJ79" s="546"/>
      <c r="AK79" s="546"/>
      <c r="AL79" s="546"/>
      <c r="AM79" s="546"/>
      <c r="AN79" s="543"/>
      <c r="AO79" s="543"/>
      <c r="AP79" s="543"/>
      <c r="AQ79" s="543"/>
    </row>
    <row r="80" spans="1:43" x14ac:dyDescent="0.25">
      <c r="A80" s="543"/>
      <c r="B80" s="550"/>
      <c r="C80" s="544"/>
      <c r="D80" s="543"/>
      <c r="E80" s="545"/>
      <c r="F80" s="543"/>
      <c r="G80" s="546"/>
      <c r="H80" s="546"/>
      <c r="I80" s="546"/>
      <c r="J80" s="546"/>
      <c r="K80" s="546"/>
      <c r="L80" s="546"/>
      <c r="M80" s="546"/>
      <c r="N80" s="546"/>
      <c r="O80" s="546"/>
      <c r="P80" s="546"/>
      <c r="Q80" s="546"/>
      <c r="R80" s="543"/>
      <c r="S80" s="543"/>
      <c r="T80" s="543"/>
      <c r="U80" s="546"/>
      <c r="V80" s="546"/>
      <c r="W80" s="546"/>
      <c r="X80" s="546"/>
      <c r="Y80" s="546"/>
      <c r="Z80" s="546"/>
      <c r="AA80" s="546"/>
      <c r="AB80" s="546"/>
      <c r="AC80" s="543"/>
      <c r="AD80" s="543"/>
      <c r="AE80" s="543"/>
      <c r="AF80" s="546"/>
      <c r="AG80" s="546"/>
      <c r="AH80" s="546"/>
      <c r="AI80" s="546"/>
      <c r="AJ80" s="546"/>
      <c r="AK80" s="546"/>
      <c r="AL80" s="546"/>
      <c r="AM80" s="546"/>
      <c r="AN80" s="543"/>
      <c r="AO80" s="543"/>
      <c r="AP80" s="543"/>
      <c r="AQ80" s="543"/>
    </row>
    <row r="81" spans="1:43" x14ac:dyDescent="0.25">
      <c r="A81" s="543"/>
      <c r="B81" s="550"/>
      <c r="C81" s="544"/>
      <c r="D81" s="543"/>
      <c r="E81" s="545"/>
      <c r="F81" s="543"/>
      <c r="G81" s="546"/>
      <c r="H81" s="546"/>
      <c r="I81" s="546"/>
      <c r="J81" s="546"/>
      <c r="K81" s="546"/>
      <c r="L81" s="546"/>
      <c r="M81" s="546"/>
      <c r="N81" s="546"/>
      <c r="O81" s="546"/>
      <c r="P81" s="546"/>
      <c r="Q81" s="546"/>
      <c r="R81" s="543"/>
      <c r="S81" s="543"/>
      <c r="T81" s="543"/>
      <c r="U81" s="546"/>
      <c r="V81" s="546"/>
      <c r="W81" s="546"/>
      <c r="X81" s="546"/>
      <c r="Y81" s="546"/>
      <c r="Z81" s="546"/>
      <c r="AA81" s="546"/>
      <c r="AB81" s="546"/>
      <c r="AC81" s="543"/>
      <c r="AD81" s="543"/>
      <c r="AE81" s="543"/>
      <c r="AF81" s="546"/>
      <c r="AG81" s="546"/>
      <c r="AH81" s="546"/>
      <c r="AI81" s="546"/>
      <c r="AJ81" s="546"/>
      <c r="AK81" s="546"/>
      <c r="AL81" s="546"/>
      <c r="AM81" s="546"/>
      <c r="AN81" s="543"/>
      <c r="AO81" s="543"/>
      <c r="AP81" s="543"/>
      <c r="AQ81" s="543"/>
    </row>
    <row r="82" spans="1:43" x14ac:dyDescent="0.25">
      <c r="A82" s="543"/>
      <c r="B82" s="550"/>
      <c r="C82" s="544"/>
      <c r="D82" s="543"/>
      <c r="E82" s="545"/>
      <c r="F82" s="543"/>
      <c r="G82" s="546"/>
      <c r="H82" s="546"/>
      <c r="I82" s="546"/>
      <c r="J82" s="546"/>
      <c r="K82" s="546"/>
      <c r="L82" s="546"/>
      <c r="M82" s="546"/>
      <c r="N82" s="546"/>
      <c r="O82" s="546"/>
      <c r="P82" s="546"/>
      <c r="Q82" s="546"/>
      <c r="R82" s="543"/>
      <c r="S82" s="543"/>
      <c r="T82" s="543"/>
      <c r="U82" s="546"/>
      <c r="V82" s="546"/>
      <c r="W82" s="546"/>
      <c r="X82" s="546"/>
      <c r="Y82" s="546"/>
      <c r="Z82" s="546"/>
      <c r="AA82" s="546"/>
      <c r="AB82" s="546"/>
      <c r="AC82" s="543"/>
      <c r="AD82" s="543"/>
      <c r="AE82" s="543"/>
      <c r="AF82" s="546"/>
      <c r="AG82" s="546"/>
      <c r="AH82" s="546"/>
      <c r="AI82" s="546"/>
      <c r="AJ82" s="546"/>
      <c r="AK82" s="546"/>
      <c r="AL82" s="546"/>
      <c r="AM82" s="546"/>
      <c r="AN82" s="543"/>
      <c r="AO82" s="543"/>
      <c r="AP82" s="543"/>
      <c r="AQ82" s="543"/>
    </row>
    <row r="83" spans="1:43" x14ac:dyDescent="0.25">
      <c r="A83" s="543"/>
      <c r="B83" s="543"/>
      <c r="C83" s="544"/>
      <c r="D83" s="543"/>
      <c r="E83" s="566"/>
      <c r="F83" s="543"/>
      <c r="G83" s="543"/>
      <c r="H83" s="544"/>
      <c r="I83" s="543"/>
      <c r="J83" s="545"/>
      <c r="K83" s="543"/>
      <c r="L83" s="543"/>
      <c r="M83" s="543"/>
      <c r="N83" s="543"/>
      <c r="O83" s="543"/>
      <c r="P83" s="543"/>
      <c r="Q83" s="543"/>
      <c r="R83" s="543"/>
      <c r="S83" s="543"/>
      <c r="T83" s="543"/>
      <c r="U83" s="543"/>
      <c r="V83" s="543"/>
      <c r="W83" s="543"/>
      <c r="X83" s="543"/>
      <c r="Y83" s="543"/>
      <c r="Z83" s="543"/>
      <c r="AA83" s="543"/>
      <c r="AB83" s="543"/>
      <c r="AC83" s="543"/>
      <c r="AD83" s="543"/>
      <c r="AE83" s="543"/>
      <c r="AF83" s="543"/>
      <c r="AG83" s="543"/>
      <c r="AH83" s="543"/>
      <c r="AI83" s="543"/>
      <c r="AJ83" s="543"/>
      <c r="AK83" s="543"/>
      <c r="AL83" s="543"/>
      <c r="AM83" s="543"/>
      <c r="AN83" s="543"/>
      <c r="AO83" s="543"/>
      <c r="AP83" s="543"/>
      <c r="AQ83" s="543"/>
    </row>
    <row r="84" spans="1:43" x14ac:dyDescent="0.25">
      <c r="A84" s="543"/>
      <c r="B84" s="543"/>
      <c r="C84" s="544"/>
      <c r="D84" s="543"/>
      <c r="E84" s="545"/>
      <c r="F84" s="543"/>
      <c r="G84" s="543"/>
      <c r="H84" s="544"/>
      <c r="I84" s="543"/>
      <c r="J84" s="545"/>
      <c r="K84" s="543"/>
      <c r="L84" s="543"/>
      <c r="M84" s="543"/>
      <c r="N84" s="543"/>
      <c r="O84" s="543"/>
      <c r="P84" s="543"/>
      <c r="Q84" s="543"/>
      <c r="R84" s="543"/>
      <c r="S84" s="543"/>
      <c r="T84" s="543"/>
      <c r="U84" s="543"/>
      <c r="V84" s="543"/>
      <c r="W84" s="543"/>
      <c r="X84" s="543"/>
      <c r="Y84" s="543"/>
      <c r="Z84" s="543"/>
      <c r="AA84" s="543"/>
      <c r="AB84" s="543"/>
      <c r="AC84" s="543"/>
      <c r="AD84" s="543"/>
      <c r="AE84" s="543"/>
      <c r="AF84" s="543"/>
      <c r="AG84" s="543"/>
      <c r="AH84" s="543"/>
      <c r="AI84" s="543"/>
      <c r="AJ84" s="543"/>
      <c r="AK84" s="543"/>
      <c r="AL84" s="543"/>
      <c r="AM84" s="543"/>
      <c r="AN84" s="543"/>
      <c r="AO84" s="543"/>
      <c r="AP84" s="543"/>
      <c r="AQ84" s="543"/>
    </row>
    <row r="85" spans="1:43" s="267" customFormat="1" x14ac:dyDescent="0.25">
      <c r="A85" s="567"/>
      <c r="B85" s="568" t="s">
        <v>248</v>
      </c>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7"/>
      <c r="AQ85" s="567"/>
    </row>
    <row r="86" spans="1:43" s="268" customFormat="1" x14ac:dyDescent="0.25">
      <c r="A86" s="569"/>
      <c r="B86" s="569"/>
      <c r="C86" s="570"/>
      <c r="D86" s="569"/>
      <c r="E86" s="571"/>
      <c r="F86" s="569"/>
      <c r="G86" s="569"/>
      <c r="H86" s="570"/>
      <c r="I86" s="569"/>
      <c r="J86" s="571"/>
      <c r="K86" s="569"/>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c r="AI86" s="569"/>
      <c r="AJ86" s="569"/>
      <c r="AK86" s="569"/>
      <c r="AL86" s="569"/>
      <c r="AM86" s="569"/>
      <c r="AN86" s="569"/>
      <c r="AO86" s="569"/>
      <c r="AP86" s="569"/>
      <c r="AQ86" s="569"/>
    </row>
    <row r="87" spans="1:43" s="269" customFormat="1" x14ac:dyDescent="0.25">
      <c r="A87" s="572"/>
      <c r="B87" s="573" t="s">
        <v>249</v>
      </c>
      <c r="C87" s="574"/>
      <c r="D87" s="572"/>
      <c r="E87" s="575"/>
      <c r="F87" s="576"/>
      <c r="G87" s="572"/>
      <c r="H87" s="574"/>
      <c r="I87" s="572"/>
      <c r="J87" s="575"/>
      <c r="K87" s="572"/>
      <c r="L87" s="572"/>
      <c r="M87" s="572"/>
      <c r="N87" s="572"/>
      <c r="O87" s="572"/>
      <c r="P87" s="572"/>
      <c r="Q87" s="572"/>
      <c r="R87" s="572"/>
      <c r="S87" s="572"/>
      <c r="T87" s="572"/>
      <c r="U87" s="572"/>
      <c r="V87" s="572"/>
      <c r="W87" s="572"/>
      <c r="X87" s="572"/>
      <c r="Y87" s="572"/>
      <c r="Z87" s="572"/>
      <c r="AA87" s="572"/>
      <c r="AB87" s="572"/>
      <c r="AC87" s="572"/>
      <c r="AD87" s="572"/>
      <c r="AE87" s="572"/>
      <c r="AF87" s="572"/>
      <c r="AG87" s="572"/>
      <c r="AH87" s="572"/>
      <c r="AI87" s="572"/>
      <c r="AJ87" s="572"/>
      <c r="AK87" s="572"/>
      <c r="AL87" s="572"/>
      <c r="AM87" s="572"/>
      <c r="AN87" s="572"/>
      <c r="AO87" s="572"/>
      <c r="AP87" s="572"/>
      <c r="AQ87" s="572"/>
    </row>
    <row r="88" spans="1:43" s="270" customFormat="1" ht="28.35" customHeight="1" x14ac:dyDescent="0.25">
      <c r="A88" s="577"/>
      <c r="B88" s="577" t="s">
        <v>250</v>
      </c>
      <c r="C88" s="578"/>
      <c r="D88" s="577"/>
      <c r="E88" s="579"/>
      <c r="F88" s="577"/>
      <c r="G88" s="577"/>
      <c r="H88" s="578"/>
      <c r="I88" s="577"/>
      <c r="J88" s="579"/>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row>
    <row r="89" spans="1:43" s="269" customFormat="1" x14ac:dyDescent="0.25">
      <c r="A89" s="572"/>
      <c r="B89" s="572"/>
      <c r="C89" s="574"/>
      <c r="D89" s="572"/>
      <c r="E89" s="575"/>
      <c r="F89" s="572"/>
      <c r="G89" s="572"/>
      <c r="H89" s="574"/>
      <c r="I89" s="572"/>
      <c r="J89" s="575"/>
      <c r="K89" s="572"/>
      <c r="L89" s="572"/>
      <c r="M89" s="572"/>
      <c r="N89" s="572"/>
      <c r="O89" s="572"/>
      <c r="P89" s="572"/>
      <c r="Q89" s="572"/>
      <c r="R89" s="572"/>
      <c r="S89" s="572"/>
      <c r="T89" s="572"/>
      <c r="U89" s="572"/>
      <c r="V89" s="572"/>
      <c r="W89" s="572"/>
      <c r="X89" s="572"/>
      <c r="Y89" s="572"/>
      <c r="Z89" s="572"/>
      <c r="AA89" s="572"/>
      <c r="AB89" s="572"/>
      <c r="AC89" s="572"/>
      <c r="AD89" s="572"/>
      <c r="AE89" s="572"/>
      <c r="AF89" s="572"/>
      <c r="AG89" s="572"/>
      <c r="AH89" s="572"/>
      <c r="AI89" s="572"/>
      <c r="AJ89" s="572"/>
    </row>
    <row r="90" spans="1:43" s="271" customFormat="1" x14ac:dyDescent="0.25">
      <c r="A90" s="580"/>
      <c r="B90" s="952" t="s">
        <v>251</v>
      </c>
      <c r="C90" s="952"/>
      <c r="D90" s="952"/>
      <c r="E90" s="952"/>
      <c r="F90" s="952"/>
      <c r="G90" s="952"/>
      <c r="H90" s="952"/>
      <c r="I90" s="952"/>
      <c r="J90" s="952"/>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row>
    <row r="91" spans="1:43" s="271" customFormat="1" x14ac:dyDescent="0.25">
      <c r="A91" s="580"/>
      <c r="B91" s="581"/>
      <c r="C91" s="582"/>
      <c r="D91" s="581"/>
      <c r="E91" s="583"/>
      <c r="F91" s="581"/>
      <c r="G91" s="580"/>
      <c r="H91" s="574"/>
      <c r="I91" s="580"/>
      <c r="J91" s="584"/>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row>
    <row r="92" spans="1:43" s="268" customFormat="1" ht="27" customHeight="1" x14ac:dyDescent="0.25">
      <c r="A92" s="569"/>
      <c r="B92" s="585" t="s">
        <v>252</v>
      </c>
      <c r="C92" s="953" t="s">
        <v>253</v>
      </c>
      <c r="D92" s="953"/>
      <c r="E92" s="953"/>
      <c r="F92" s="953"/>
      <c r="G92" s="953"/>
      <c r="H92" s="953"/>
      <c r="I92" s="953"/>
      <c r="J92" s="953"/>
      <c r="K92" s="586"/>
      <c r="L92" s="569"/>
      <c r="M92" s="569"/>
      <c r="N92" s="569"/>
      <c r="O92" s="569"/>
      <c r="P92" s="569"/>
      <c r="Q92" s="569"/>
      <c r="R92" s="569"/>
      <c r="S92" s="569"/>
      <c r="T92" s="569"/>
      <c r="U92" s="586"/>
      <c r="V92" s="569"/>
      <c r="W92" s="569"/>
      <c r="X92" s="569"/>
      <c r="Y92" s="569"/>
      <c r="Z92" s="569"/>
      <c r="AA92" s="569"/>
      <c r="AB92" s="569"/>
      <c r="AC92" s="569"/>
      <c r="AD92" s="569"/>
      <c r="AE92" s="569"/>
      <c r="AF92" s="586"/>
      <c r="AG92" s="569"/>
      <c r="AH92" s="569"/>
      <c r="AI92" s="569"/>
      <c r="AJ92" s="569"/>
    </row>
    <row r="93" spans="1:43" s="268" customFormat="1" x14ac:dyDescent="0.25">
      <c r="A93" s="569"/>
      <c r="B93" s="585" t="s">
        <v>252</v>
      </c>
      <c r="C93" s="953" t="s">
        <v>254</v>
      </c>
      <c r="D93" s="953"/>
      <c r="E93" s="953"/>
      <c r="F93" s="953"/>
      <c r="G93" s="953"/>
      <c r="H93" s="953"/>
      <c r="I93" s="953"/>
      <c r="J93" s="953"/>
      <c r="K93" s="587"/>
      <c r="L93" s="569"/>
      <c r="M93" s="569"/>
      <c r="N93" s="569"/>
      <c r="O93" s="569"/>
      <c r="P93" s="569"/>
      <c r="Q93" s="569"/>
      <c r="R93" s="569"/>
      <c r="S93" s="569"/>
      <c r="T93" s="569"/>
      <c r="U93" s="587"/>
      <c r="V93" s="569"/>
      <c r="W93" s="569"/>
      <c r="X93" s="569"/>
      <c r="Y93" s="569"/>
      <c r="Z93" s="569"/>
      <c r="AA93" s="569"/>
      <c r="AB93" s="569"/>
      <c r="AC93" s="569"/>
      <c r="AD93" s="569"/>
      <c r="AE93" s="569"/>
      <c r="AF93" s="587"/>
      <c r="AG93" s="569"/>
      <c r="AH93" s="569"/>
      <c r="AI93" s="569"/>
      <c r="AJ93" s="569"/>
    </row>
    <row r="94" spans="1:43" s="272" customFormat="1" x14ac:dyDescent="0.25">
      <c r="A94" s="569"/>
      <c r="B94" s="569"/>
      <c r="C94" s="951"/>
      <c r="D94" s="951"/>
      <c r="E94" s="951"/>
      <c r="F94" s="951"/>
      <c r="G94" s="951"/>
      <c r="H94" s="951"/>
      <c r="I94" s="951"/>
      <c r="J94" s="951"/>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c r="AJ94" s="569"/>
    </row>
    <row r="95" spans="1:43" s="272" customFormat="1" x14ac:dyDescent="0.25">
      <c r="A95" s="569"/>
      <c r="B95" s="569"/>
      <c r="C95" s="569"/>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69"/>
      <c r="AJ95" s="569"/>
    </row>
    <row r="96" spans="1:43" s="272" customFormat="1" ht="268.5" customHeight="1" x14ac:dyDescent="0.25">
      <c r="A96" s="569"/>
      <c r="B96" s="951"/>
      <c r="C96" s="951"/>
      <c r="D96" s="951"/>
      <c r="E96" s="951"/>
      <c r="F96" s="951"/>
      <c r="G96" s="951"/>
      <c r="H96" s="951"/>
      <c r="I96" s="951"/>
      <c r="J96" s="951"/>
      <c r="K96" s="569"/>
      <c r="L96" s="569"/>
      <c r="M96" s="569"/>
      <c r="N96" s="569"/>
      <c r="O96" s="569"/>
      <c r="P96" s="569"/>
      <c r="Q96" s="569"/>
      <c r="R96" s="569"/>
      <c r="S96" s="569"/>
      <c r="T96" s="569"/>
      <c r="U96" s="569"/>
      <c r="V96" s="569"/>
      <c r="W96" s="569"/>
      <c r="X96" s="569"/>
      <c r="Y96" s="569"/>
      <c r="Z96" s="569"/>
      <c r="AA96" s="569"/>
      <c r="AB96" s="569"/>
      <c r="AC96" s="569"/>
      <c r="AD96" s="569"/>
      <c r="AE96" s="569"/>
      <c r="AF96" s="569"/>
      <c r="AG96" s="569"/>
      <c r="AH96" s="569"/>
      <c r="AI96" s="569"/>
      <c r="AJ96" s="569"/>
    </row>
    <row r="97" spans="1:36" s="272" customFormat="1" x14ac:dyDescent="0.25">
      <c r="A97" s="569"/>
      <c r="B97" s="569"/>
      <c r="C97" s="569"/>
      <c r="D97" s="569"/>
      <c r="E97" s="569"/>
      <c r="F97" s="569"/>
      <c r="G97" s="569"/>
      <c r="H97" s="569"/>
      <c r="I97" s="569"/>
      <c r="J97" s="569"/>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row>
    <row r="98" spans="1:36" s="272" customFormat="1" ht="260.10000000000002" customHeight="1" x14ac:dyDescent="0.25">
      <c r="A98" s="569"/>
      <c r="B98" s="951"/>
      <c r="C98" s="951"/>
      <c r="D98" s="951"/>
      <c r="E98" s="951"/>
      <c r="F98" s="951"/>
      <c r="G98" s="951"/>
      <c r="H98" s="951"/>
      <c r="I98" s="951"/>
      <c r="J98" s="951"/>
      <c r="K98" s="569"/>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c r="AJ98" s="569"/>
    </row>
    <row r="99" spans="1:36" s="272" customFormat="1" x14ac:dyDescent="0.25">
      <c r="B99" s="569"/>
      <c r="C99" s="569"/>
      <c r="D99" s="569"/>
      <c r="E99" s="569"/>
      <c r="F99" s="569"/>
      <c r="G99" s="569"/>
      <c r="H99" s="569"/>
      <c r="I99" s="569"/>
      <c r="J99" s="569"/>
      <c r="K99" s="569"/>
      <c r="L99" s="569"/>
    </row>
    <row r="100" spans="1:36" s="272" customFormat="1" x14ac:dyDescent="0.25">
      <c r="B100" s="569"/>
      <c r="C100" s="569"/>
      <c r="D100" s="569"/>
      <c r="E100" s="569"/>
      <c r="F100" s="569"/>
      <c r="G100" s="569"/>
      <c r="H100" s="569"/>
      <c r="I100" s="569"/>
      <c r="J100" s="569"/>
      <c r="K100" s="569"/>
      <c r="L100" s="569"/>
    </row>
    <row r="101" spans="1:36" s="272" customFormat="1" x14ac:dyDescent="0.25">
      <c r="B101" s="569" t="s">
        <v>255</v>
      </c>
      <c r="C101" s="569"/>
      <c r="D101" s="569"/>
      <c r="E101" s="569"/>
      <c r="F101" s="569"/>
      <c r="G101" s="569"/>
      <c r="H101" s="569"/>
      <c r="I101" s="569"/>
      <c r="J101" s="569"/>
      <c r="K101" s="569"/>
      <c r="L101" s="569"/>
    </row>
    <row r="102" spans="1:36" s="272" customFormat="1" x14ac:dyDescent="0.25">
      <c r="B102" s="569"/>
      <c r="C102" s="569"/>
      <c r="D102" s="569"/>
      <c r="E102" s="569"/>
      <c r="F102" s="569"/>
      <c r="G102" s="569"/>
      <c r="H102" s="569"/>
      <c r="I102" s="569"/>
      <c r="J102" s="569"/>
      <c r="K102" s="569"/>
      <c r="L102" s="569"/>
    </row>
    <row r="103" spans="1:36" s="272" customFormat="1" x14ac:dyDescent="0.25">
      <c r="B103" s="951" t="s">
        <v>256</v>
      </c>
      <c r="C103" s="951"/>
      <c r="D103" s="951"/>
      <c r="E103" s="951"/>
      <c r="F103" s="951"/>
      <c r="G103" s="951"/>
      <c r="H103" s="951"/>
      <c r="I103" s="951"/>
      <c r="J103" s="951"/>
      <c r="K103" s="569"/>
      <c r="L103" s="569"/>
    </row>
    <row r="104" spans="1:36" s="272" customFormat="1" x14ac:dyDescent="0.25">
      <c r="B104" s="569"/>
      <c r="C104" s="569"/>
      <c r="D104" s="569"/>
      <c r="E104" s="569"/>
      <c r="F104" s="569"/>
      <c r="G104" s="569"/>
      <c r="H104" s="569"/>
      <c r="I104" s="569"/>
      <c r="J104" s="569"/>
      <c r="K104" s="569"/>
      <c r="L104" s="569"/>
    </row>
    <row r="105" spans="1:36" s="272" customFormat="1" x14ac:dyDescent="0.25">
      <c r="B105" s="569" t="s">
        <v>252</v>
      </c>
      <c r="C105" s="951" t="s">
        <v>257</v>
      </c>
      <c r="D105" s="951"/>
      <c r="E105" s="951"/>
      <c r="F105" s="951"/>
      <c r="G105" s="951"/>
      <c r="H105" s="951"/>
      <c r="I105" s="951"/>
      <c r="J105" s="951"/>
      <c r="K105" s="569"/>
      <c r="L105" s="569"/>
    </row>
    <row r="106" spans="1:36" s="272" customFormat="1" x14ac:dyDescent="0.25">
      <c r="B106" s="569" t="s">
        <v>252</v>
      </c>
      <c r="C106" s="951" t="s">
        <v>258</v>
      </c>
      <c r="D106" s="951"/>
      <c r="E106" s="951"/>
      <c r="F106" s="951"/>
      <c r="G106" s="951"/>
      <c r="H106" s="951"/>
      <c r="I106" s="951"/>
      <c r="J106" s="951"/>
      <c r="K106" s="569"/>
      <c r="L106" s="569"/>
    </row>
    <row r="107" spans="1:36" s="272" customFormat="1" x14ac:dyDescent="0.25">
      <c r="B107" s="569"/>
      <c r="C107" s="951"/>
      <c r="D107" s="951"/>
      <c r="E107" s="951"/>
      <c r="F107" s="951"/>
      <c r="G107" s="951"/>
      <c r="H107" s="951"/>
      <c r="I107" s="951"/>
      <c r="J107" s="951"/>
      <c r="K107" s="569"/>
      <c r="L107" s="569"/>
    </row>
    <row r="108" spans="1:36" s="272" customFormat="1" x14ac:dyDescent="0.25">
      <c r="B108" s="569"/>
      <c r="C108" s="569"/>
      <c r="D108" s="569"/>
      <c r="E108" s="569"/>
      <c r="F108" s="569"/>
      <c r="G108" s="569"/>
      <c r="H108" s="569"/>
      <c r="I108" s="569"/>
      <c r="J108" s="569"/>
      <c r="K108" s="569"/>
      <c r="L108" s="569"/>
      <c r="M108" s="272" t="s">
        <v>259</v>
      </c>
      <c r="W108" s="272" t="s">
        <v>259</v>
      </c>
      <c r="AH108" s="272" t="s">
        <v>259</v>
      </c>
    </row>
    <row r="109" spans="1:36" s="272" customFormat="1" x14ac:dyDescent="0.25">
      <c r="B109" s="951"/>
      <c r="C109" s="951"/>
      <c r="D109" s="951"/>
      <c r="E109" s="951"/>
      <c r="F109" s="951"/>
      <c r="G109" s="951"/>
      <c r="H109" s="951"/>
      <c r="I109" s="951"/>
      <c r="J109" s="951"/>
      <c r="K109" s="569"/>
      <c r="L109" s="569"/>
    </row>
    <row r="110" spans="1:36" s="272" customFormat="1" x14ac:dyDescent="0.25">
      <c r="B110" s="569"/>
      <c r="C110" s="569"/>
      <c r="D110" s="569"/>
      <c r="E110" s="569"/>
      <c r="F110" s="569"/>
      <c r="G110" s="569"/>
      <c r="H110" s="569"/>
      <c r="I110" s="569"/>
      <c r="J110" s="569"/>
      <c r="K110" s="569"/>
      <c r="L110" s="569"/>
    </row>
    <row r="111" spans="1:36" s="272" customFormat="1" x14ac:dyDescent="0.25">
      <c r="B111" s="569"/>
      <c r="C111" s="569"/>
      <c r="D111" s="569"/>
      <c r="E111" s="569"/>
      <c r="F111" s="569"/>
      <c r="G111" s="569"/>
      <c r="H111" s="569"/>
      <c r="I111" s="569"/>
      <c r="J111" s="569"/>
      <c r="K111" s="569"/>
      <c r="L111" s="569"/>
    </row>
    <row r="112" spans="1:36" s="272" customFormat="1" x14ac:dyDescent="0.25">
      <c r="B112" s="569"/>
      <c r="C112" s="569"/>
      <c r="D112" s="569"/>
      <c r="E112" s="569"/>
      <c r="F112" s="569"/>
      <c r="G112" s="569"/>
      <c r="H112" s="569"/>
      <c r="I112" s="569"/>
      <c r="J112" s="569"/>
      <c r="K112" s="569"/>
      <c r="L112" s="569"/>
    </row>
    <row r="113" spans="2:12" s="272" customFormat="1" x14ac:dyDescent="0.25">
      <c r="B113" s="569"/>
      <c r="C113" s="569"/>
      <c r="D113" s="569"/>
      <c r="E113" s="569"/>
      <c r="F113" s="569"/>
      <c r="G113" s="569"/>
      <c r="H113" s="569"/>
      <c r="I113" s="569"/>
      <c r="J113" s="569"/>
      <c r="K113" s="569"/>
      <c r="L113" s="569"/>
    </row>
    <row r="114" spans="2:12" s="268" customFormat="1" x14ac:dyDescent="0.25">
      <c r="B114" s="569"/>
      <c r="C114" s="570"/>
      <c r="D114" s="569"/>
      <c r="E114" s="571"/>
      <c r="F114" s="569"/>
      <c r="G114" s="569"/>
      <c r="H114" s="570"/>
      <c r="I114" s="569"/>
      <c r="J114" s="571"/>
      <c r="K114" s="569"/>
      <c r="L114" s="569"/>
    </row>
    <row r="115" spans="2:12" s="268" customFormat="1" x14ac:dyDescent="0.25">
      <c r="B115" s="569"/>
      <c r="C115" s="570"/>
      <c r="D115" s="569"/>
      <c r="E115" s="571"/>
      <c r="F115" s="569"/>
      <c r="G115" s="569"/>
      <c r="H115" s="570"/>
      <c r="I115" s="569"/>
      <c r="J115" s="571"/>
      <c r="K115" s="569"/>
      <c r="L115" s="569"/>
    </row>
    <row r="116" spans="2:12" s="268" customFormat="1" x14ac:dyDescent="0.25">
      <c r="B116" s="569"/>
      <c r="C116" s="570"/>
      <c r="D116" s="569"/>
      <c r="E116" s="571"/>
      <c r="F116" s="569"/>
      <c r="G116" s="569"/>
      <c r="H116" s="570"/>
      <c r="I116" s="569"/>
      <c r="J116" s="571"/>
      <c r="K116" s="569"/>
      <c r="L116" s="569"/>
    </row>
    <row r="117" spans="2:12" s="268" customFormat="1" x14ac:dyDescent="0.25">
      <c r="B117" s="569"/>
      <c r="C117" s="570"/>
      <c r="D117" s="569"/>
      <c r="E117" s="571"/>
      <c r="F117" s="569"/>
      <c r="G117" s="569"/>
      <c r="H117" s="570"/>
      <c r="I117" s="569"/>
      <c r="J117" s="571"/>
      <c r="K117" s="569"/>
      <c r="L117" s="569"/>
    </row>
    <row r="118" spans="2:12" s="268" customFormat="1" x14ac:dyDescent="0.25">
      <c r="B118" s="569"/>
      <c r="C118" s="570"/>
      <c r="D118" s="569"/>
      <c r="E118" s="571"/>
      <c r="F118" s="569"/>
      <c r="G118" s="569"/>
      <c r="H118" s="570"/>
      <c r="I118" s="569"/>
      <c r="J118" s="571"/>
      <c r="K118" s="569"/>
      <c r="L118" s="569"/>
    </row>
    <row r="119" spans="2:12" s="268" customFormat="1" x14ac:dyDescent="0.25">
      <c r="B119" s="569"/>
      <c r="C119" s="570"/>
      <c r="D119" s="569"/>
      <c r="E119" s="571"/>
      <c r="F119" s="569"/>
      <c r="G119" s="569"/>
      <c r="H119" s="570"/>
      <c r="I119" s="569"/>
      <c r="J119" s="571"/>
      <c r="K119" s="569"/>
      <c r="L119" s="569"/>
    </row>
    <row r="120" spans="2:12" s="268" customFormat="1" x14ac:dyDescent="0.25">
      <c r="B120" s="569"/>
      <c r="C120" s="570"/>
      <c r="D120" s="569"/>
      <c r="E120" s="571"/>
      <c r="F120" s="569"/>
      <c r="G120" s="569"/>
      <c r="H120" s="570"/>
      <c r="I120" s="569"/>
      <c r="J120" s="571"/>
      <c r="K120" s="569"/>
      <c r="L120" s="569"/>
    </row>
    <row r="121" spans="2:12" s="268" customFormat="1" x14ac:dyDescent="0.25">
      <c r="B121" s="569"/>
      <c r="C121" s="570"/>
      <c r="D121" s="569"/>
      <c r="E121" s="571"/>
      <c r="F121" s="569"/>
      <c r="G121" s="569"/>
      <c r="H121" s="570"/>
      <c r="I121" s="569"/>
      <c r="J121" s="571"/>
      <c r="K121" s="569"/>
      <c r="L121" s="569"/>
    </row>
    <row r="122" spans="2:12" s="268" customFormat="1" x14ac:dyDescent="0.25">
      <c r="B122" s="569"/>
      <c r="C122" s="570"/>
      <c r="D122" s="569"/>
      <c r="E122" s="571"/>
      <c r="F122" s="569"/>
      <c r="G122" s="569"/>
      <c r="H122" s="570"/>
      <c r="I122" s="569"/>
      <c r="J122" s="571"/>
      <c r="K122" s="569"/>
      <c r="L122" s="569"/>
    </row>
    <row r="123" spans="2:12" s="268" customFormat="1" x14ac:dyDescent="0.25">
      <c r="B123" s="569"/>
      <c r="C123" s="570"/>
      <c r="D123" s="569"/>
      <c r="E123" s="571"/>
      <c r="F123" s="569"/>
      <c r="G123" s="569"/>
      <c r="H123" s="570"/>
      <c r="I123" s="569"/>
      <c r="J123" s="571"/>
      <c r="K123" s="569"/>
      <c r="L123" s="569"/>
    </row>
  </sheetData>
  <sheetProtection algorithmName="SHA-512" hashValue="rPr4y78evf8DPkqw7fGeTn++fcvmb6rb5SxsuiUILW//d2cHmMlb/gMGZCED/TZrmkwDdNt3k8OAoxUmMeAE1g==" saltValue="ICmeJlGW9LyTZKUYwNMexg==" spinCount="100000" sheet="1" objects="1" scenarios="1"/>
  <dataConsolidate/>
  <mergeCells count="114">
    <mergeCell ref="L3:S6"/>
    <mergeCell ref="L8:S11"/>
    <mergeCell ref="L13:S15"/>
    <mergeCell ref="L18:S19"/>
    <mergeCell ref="C105:J105"/>
    <mergeCell ref="C106:J106"/>
    <mergeCell ref="C107:J107"/>
    <mergeCell ref="B109:J109"/>
    <mergeCell ref="B90:J90"/>
    <mergeCell ref="C92:J92"/>
    <mergeCell ref="C93:J93"/>
    <mergeCell ref="C94:J94"/>
    <mergeCell ref="B96:J96"/>
    <mergeCell ref="B98:J98"/>
    <mergeCell ref="B8:F8"/>
    <mergeCell ref="G3:J3"/>
    <mergeCell ref="D4:F4"/>
    <mergeCell ref="G4:J6"/>
    <mergeCell ref="D5:F5"/>
    <mergeCell ref="D6:F6"/>
    <mergeCell ref="B3:F3"/>
    <mergeCell ref="B13:F13"/>
    <mergeCell ref="B103:J103"/>
    <mergeCell ref="B31:J31"/>
    <mergeCell ref="V21:AA21"/>
    <mergeCell ref="AB21:AE21"/>
    <mergeCell ref="AG21:AL21"/>
    <mergeCell ref="AM21:AP21"/>
    <mergeCell ref="B19:C19"/>
    <mergeCell ref="D19:F19"/>
    <mergeCell ref="G19:H19"/>
    <mergeCell ref="I19:J19"/>
    <mergeCell ref="B21:F21"/>
    <mergeCell ref="G21:J21"/>
    <mergeCell ref="V22:W22"/>
    <mergeCell ref="X22:AA22"/>
    <mergeCell ref="AB22:AE22"/>
    <mergeCell ref="AG22:AH22"/>
    <mergeCell ref="AI22:AL22"/>
    <mergeCell ref="AM22:AP22"/>
    <mergeCell ref="B22:C22"/>
    <mergeCell ref="D22:F22"/>
    <mergeCell ref="G22:J22"/>
    <mergeCell ref="L22:M22"/>
    <mergeCell ref="N22:P22"/>
    <mergeCell ref="Q22:T22"/>
    <mergeCell ref="AM23:AP30"/>
    <mergeCell ref="X24:AA28"/>
    <mergeCell ref="AI24:AL28"/>
    <mergeCell ref="V27:V28"/>
    <mergeCell ref="W27:W28"/>
    <mergeCell ref="V30:AA30"/>
    <mergeCell ref="AG30:AL30"/>
    <mergeCell ref="AG27:AG28"/>
    <mergeCell ref="AH27:AH28"/>
    <mergeCell ref="X29:AA29"/>
    <mergeCell ref="AI29:AL29"/>
    <mergeCell ref="V23:W23"/>
    <mergeCell ref="X23:AA23"/>
    <mergeCell ref="AB23:AE30"/>
    <mergeCell ref="AG23:AH23"/>
    <mergeCell ref="AI23:AL23"/>
    <mergeCell ref="K40:T40"/>
    <mergeCell ref="G34:T37"/>
    <mergeCell ref="B39:D39"/>
    <mergeCell ref="E39:F39"/>
    <mergeCell ref="G39:J39"/>
    <mergeCell ref="B40:D40"/>
    <mergeCell ref="E40:F40"/>
    <mergeCell ref="G40:J40"/>
    <mergeCell ref="E36:F36"/>
    <mergeCell ref="B37:D37"/>
    <mergeCell ref="E37:F37"/>
    <mergeCell ref="B38:D38"/>
    <mergeCell ref="E38:F38"/>
    <mergeCell ref="G38:J38"/>
    <mergeCell ref="B34:D34"/>
    <mergeCell ref="E34:F34"/>
    <mergeCell ref="B35:D35"/>
    <mergeCell ref="E35:F35"/>
    <mergeCell ref="B36:D36"/>
    <mergeCell ref="G23:J30"/>
    <mergeCell ref="L23:M23"/>
    <mergeCell ref="N23:P23"/>
    <mergeCell ref="Q23:T30"/>
    <mergeCell ref="D24:F28"/>
    <mergeCell ref="N24:P28"/>
    <mergeCell ref="B30:F30"/>
    <mergeCell ref="L30:P30"/>
    <mergeCell ref="K39:T39"/>
    <mergeCell ref="D7:F7"/>
    <mergeCell ref="G7:J7"/>
    <mergeCell ref="G8:J8"/>
    <mergeCell ref="D9:F9"/>
    <mergeCell ref="N29:P29"/>
    <mergeCell ref="G9:J11"/>
    <mergeCell ref="D10:F10"/>
    <mergeCell ref="G13:J13"/>
    <mergeCell ref="K38:T38"/>
    <mergeCell ref="D29:F29"/>
    <mergeCell ref="B33:F33"/>
    <mergeCell ref="G33:T33"/>
    <mergeCell ref="B23:C23"/>
    <mergeCell ref="D23:F23"/>
    <mergeCell ref="L21:P21"/>
    <mergeCell ref="Q21:T21"/>
    <mergeCell ref="D12:F12"/>
    <mergeCell ref="G12:J12"/>
    <mergeCell ref="B14:C14"/>
    <mergeCell ref="D14:F14"/>
    <mergeCell ref="G14:J15"/>
    <mergeCell ref="B15:C15"/>
    <mergeCell ref="D15:F15"/>
    <mergeCell ref="B18:F18"/>
  </mergeCells>
  <phoneticPr fontId="17" type="noConversion"/>
  <conditionalFormatting sqref="G38:G40">
    <cfRule type="containsText" dxfId="201" priority="5" operator="containsText" text="No cumple">
      <formula>NOT(ISERROR(SEARCH("No cumple",G38)))</formula>
    </cfRule>
    <cfRule type="containsText" dxfId="200" priority="6" operator="containsText" text="Cumple">
      <formula>NOT(ISERROR(SEARCH("Cumple",G38)))</formula>
    </cfRule>
  </conditionalFormatting>
  <conditionalFormatting sqref="G21:J21">
    <cfRule type="containsText" dxfId="199" priority="3" operator="containsText" text="No aplica">
      <formula>NOT(ISERROR(SEARCH("No aplica",G21)))</formula>
    </cfRule>
    <cfRule type="containsText" dxfId="198" priority="4" operator="containsText" text="Aplica">
      <formula>NOT(ISERROR(SEARCH("Aplica",G21)))</formula>
    </cfRule>
  </conditionalFormatting>
  <conditionalFormatting sqref="Q21:T21 AB21:AE21 AM21:AP21">
    <cfRule type="containsText" dxfId="197" priority="1" operator="containsText" text="No aplica">
      <formula>NOT(ISERROR(SEARCH("No aplica",Q21)))</formula>
    </cfRule>
    <cfRule type="containsText" dxfId="196" priority="2" operator="containsText" text="Aplica">
      <formula>NOT(ISERROR(SEARCH("Aplica",Q21)))</formula>
    </cfRule>
  </conditionalFormatting>
  <dataValidations count="1">
    <dataValidation allowBlank="1" showInputMessage="1" showErrorMessage="1" promptTitle="Ingreso de datos" prompt="Ingrese un valor de 0% a 100%" sqref="E35:F35" xr:uid="{6B6C1158-1EB4-404D-A697-D13FDC471475}"/>
  </dataValidations>
  <pageMargins left="0.70866141732283472" right="0.70866141732283472" top="0.55118110236220474" bottom="0.55118110236220474" header="0.39370078740157483" footer="0.31496062992125984"/>
  <pageSetup orientation="portrait" horizontalDpi="300" r:id="rId1"/>
  <headerFooter differentFirst="1">
    <firstHeader>&amp;R&amp;G</firstHeader>
  </headerFooter>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CCE422C0-0F21-4685-9818-C09FE9DF0B01}">
          <x14:formula1>
            <xm:f>'Formula limites'!$Y$1:$Y$5</xm:f>
          </x14:formula1>
          <xm:sqref>D19</xm:sqref>
        </x14:dataValidation>
        <x14:dataValidation type="list" allowBlank="1" showInputMessage="1" showErrorMessage="1" xr:uid="{BF453341-00A0-4E1B-9B2E-2928E2559ED9}">
          <x14:formula1>
            <xm:f>'Formula limites'!$V$2:$V$4</xm:f>
          </x14:formula1>
          <xm:sqref>E37:F37</xm:sqref>
        </x14:dataValidation>
        <x14:dataValidation type="list" allowBlank="1" showInputMessage="1" showErrorMessage="1" xr:uid="{C09EC1D6-98AA-4814-A3E9-F7187373EB2C}">
          <x14:formula1>
            <xm:f>'Formula limites'!$Q$28:$T$28</xm:f>
          </x14:formula1>
          <xm:sqref>D15</xm:sqref>
        </x14:dataValidation>
        <x14:dataValidation type="list" allowBlank="1" showInputMessage="1" showErrorMessage="1" xr:uid="{76CD554D-DF7A-49C9-93DE-E47B4B3372D2}">
          <x14:formula1>
            <xm:f>'Formula limites'!$J$29:$J$37</xm:f>
          </x14:formula1>
          <xm:sqref>F11</xm:sqref>
        </x14:dataValidation>
        <x14:dataValidation type="list" allowBlank="1" showInputMessage="1" showErrorMessage="1" xr:uid="{FDEFD781-5BFF-48BC-9C3B-D6414F859719}">
          <x14:formula1>
            <xm:f>'Formula limites'!$K$28:$M$28</xm:f>
          </x14:formula1>
          <xm:sqref>E11</xm:sqref>
        </x14:dataValidation>
        <x14:dataValidation type="list" allowBlank="1" showInputMessage="1" showErrorMessage="1" xr:uid="{FEF17347-65D6-4B7A-B4BB-CDE573378573}">
          <x14:formula1>
            <xm:f>'Formula limites'!$P$22:$P$23</xm:f>
          </x14:formula1>
          <xm:sqref>E34:F34</xm:sqref>
        </x14:dataValidation>
        <x14:dataValidation type="list" allowBlank="1" showInputMessage="1" showErrorMessage="1" xr:uid="{DCAD94D3-AE1D-4BB2-B804-BC6885557A82}">
          <x14:formula1>
            <xm:f>'Formula limites'!$O$29:$O$31</xm:f>
          </x14:formula1>
          <xm:sqref>D14</xm:sqref>
        </x14:dataValidation>
        <x14:dataValidation type="list" allowBlank="1" showInputMessage="1" showErrorMessage="1" xr:uid="{10FCC9B1-BAF7-4BBE-B2F7-94BB4E7E400C}">
          <x14:formula1>
            <xm:f>'Formula limites'!$BG$4:$BG$8</xm:f>
          </x14:formula1>
          <xm:sqref>D23:F23 N23:P23 X23:AA23 AI23:AL23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9C3D-5D26-44E9-9327-2168EDFDCE75}">
  <dimension ref="A1:BT55"/>
  <sheetViews>
    <sheetView topLeftCell="AQ1" zoomScale="60" zoomScaleNormal="60" workbookViewId="0">
      <selection activeCell="BI29" sqref="BI29"/>
    </sheetView>
  </sheetViews>
  <sheetFormatPr defaultColWidth="11.5546875" defaultRowHeight="13.2" x14ac:dyDescent="0.25"/>
  <cols>
    <col min="15" max="15" width="14.44140625" customWidth="1"/>
    <col min="24" max="24" width="14" customWidth="1"/>
    <col min="40" max="40" width="12.33203125" bestFit="1" customWidth="1"/>
    <col min="48" max="48" width="30.5546875" customWidth="1"/>
    <col min="58" max="58" width="17.6640625" customWidth="1"/>
    <col min="64" max="64" width="21.33203125" customWidth="1"/>
  </cols>
  <sheetData>
    <row r="1" spans="1:72" ht="12.75" customHeight="1" x14ac:dyDescent="0.25">
      <c r="G1" t="s">
        <v>260</v>
      </c>
      <c r="H1" t="s">
        <v>261</v>
      </c>
      <c r="V1" t="s">
        <v>241</v>
      </c>
      <c r="X1" s="35" t="s">
        <v>262</v>
      </c>
      <c r="Y1" t="s">
        <v>208</v>
      </c>
      <c r="AB1" s="1046"/>
      <c r="AC1" s="1044"/>
      <c r="AD1" s="1044"/>
      <c r="AE1" s="1044"/>
      <c r="AF1" s="1044"/>
      <c r="AG1" s="1045"/>
      <c r="AH1" s="1046"/>
      <c r="AI1" s="1044"/>
      <c r="AJ1" s="1044"/>
      <c r="AK1" s="1045"/>
      <c r="AL1" s="1059" t="s">
        <v>263</v>
      </c>
      <c r="AM1" s="1060"/>
      <c r="AN1" s="1061"/>
      <c r="AO1" s="180" t="s">
        <v>264</v>
      </c>
      <c r="AP1" s="180"/>
      <c r="AQ1" s="181" t="s">
        <v>265</v>
      </c>
      <c r="AR1" s="181" t="s">
        <v>266</v>
      </c>
      <c r="AS1" s="181" t="s">
        <v>267</v>
      </c>
      <c r="AT1" s="181" t="s">
        <v>268</v>
      </c>
      <c r="AV1" s="1053"/>
      <c r="AW1" s="1062" t="s">
        <v>269</v>
      </c>
      <c r="AX1" s="1063"/>
      <c r="AY1" s="182"/>
      <c r="AZ1" s="182"/>
      <c r="BA1" s="183" t="s">
        <v>270</v>
      </c>
      <c r="BB1" s="183" t="s">
        <v>271</v>
      </c>
      <c r="BC1" s="183" t="s">
        <v>272</v>
      </c>
      <c r="BD1" s="183" t="s">
        <v>273</v>
      </c>
      <c r="BF1" s="1053"/>
      <c r="BG1" s="1049" t="s">
        <v>269</v>
      </c>
      <c r="BH1" s="1051" t="s">
        <v>274</v>
      </c>
      <c r="BI1" s="1052"/>
      <c r="BJ1" s="1052"/>
      <c r="BL1" s="1053"/>
      <c r="BM1" s="1049" t="s">
        <v>269</v>
      </c>
      <c r="BN1" s="1056" t="s">
        <v>275</v>
      </c>
      <c r="BO1" s="1057"/>
      <c r="BP1" s="1057"/>
      <c r="BQ1" s="1057"/>
      <c r="BR1" s="1057"/>
      <c r="BS1" s="1057"/>
      <c r="BT1" s="1058"/>
    </row>
    <row r="2" spans="1:72" ht="15.6" x14ac:dyDescent="0.25">
      <c r="A2">
        <v>0.47499999999999998</v>
      </c>
      <c r="B2">
        <v>0.373426651453581</v>
      </c>
      <c r="D2" t="s">
        <v>276</v>
      </c>
      <c r="G2">
        <v>0.47499999999999998</v>
      </c>
      <c r="H2">
        <f>0.3611*G2^2-0.7629*G2+0.6524</f>
        <v>0.37149568749999995</v>
      </c>
      <c r="V2" t="s">
        <v>277</v>
      </c>
      <c r="X2" s="35" t="s">
        <v>278</v>
      </c>
      <c r="Y2" t="s">
        <v>209</v>
      </c>
      <c r="AB2" s="1032"/>
      <c r="AC2" s="1033"/>
      <c r="AD2" s="1044"/>
      <c r="AE2" s="1044"/>
      <c r="AF2" s="1044"/>
      <c r="AG2" s="1045"/>
      <c r="AH2" s="1032"/>
      <c r="AI2" s="1033"/>
      <c r="AJ2" s="1033"/>
      <c r="AK2" s="1034"/>
      <c r="AL2" s="178" t="s">
        <v>264</v>
      </c>
      <c r="AM2" s="179"/>
      <c r="AN2" s="180"/>
      <c r="AO2" s="180"/>
      <c r="AP2" s="180"/>
      <c r="AQ2" s="181">
        <v>0.5</v>
      </c>
      <c r="AR2" s="181">
        <v>1</v>
      </c>
      <c r="AS2" s="181">
        <v>2</v>
      </c>
      <c r="AT2" s="181">
        <v>2</v>
      </c>
      <c r="AV2" s="1054"/>
      <c r="AW2" s="993" t="s">
        <v>279</v>
      </c>
      <c r="AX2" s="188"/>
      <c r="AY2" s="188"/>
      <c r="AZ2" s="188"/>
      <c r="BA2" s="189">
        <v>1</v>
      </c>
      <c r="BB2" s="189">
        <v>2</v>
      </c>
      <c r="BC2" s="189">
        <v>3</v>
      </c>
      <c r="BD2" s="189">
        <v>4</v>
      </c>
      <c r="BF2" s="1054"/>
      <c r="BG2" s="1050"/>
      <c r="BH2" s="183" t="s">
        <v>280</v>
      </c>
      <c r="BI2" s="183" t="s">
        <v>281</v>
      </c>
      <c r="BJ2" s="183" t="s">
        <v>282</v>
      </c>
      <c r="BL2" s="1054"/>
      <c r="BM2" s="1050"/>
      <c r="BN2" s="183" t="s">
        <v>283</v>
      </c>
      <c r="BO2" s="191" t="s">
        <v>284</v>
      </c>
      <c r="BP2" s="183" t="s">
        <v>285</v>
      </c>
      <c r="BQ2" s="192" t="s">
        <v>286</v>
      </c>
      <c r="BR2" s="192" t="s">
        <v>287</v>
      </c>
      <c r="BS2" s="183" t="s">
        <v>288</v>
      </c>
      <c r="BT2" s="192" t="s">
        <v>289</v>
      </c>
    </row>
    <row r="3" spans="1:72" x14ac:dyDescent="0.25">
      <c r="A3">
        <v>0.488721560948922</v>
      </c>
      <c r="B3">
        <v>0.36603726725959301</v>
      </c>
      <c r="G3">
        <v>0.48</v>
      </c>
      <c r="H3">
        <f t="shared" ref="H3:H55" si="0">0.3611*G3^2-0.7629*G3+0.6524</f>
        <v>0.36940543999999997</v>
      </c>
      <c r="V3" t="s">
        <v>290</v>
      </c>
      <c r="X3" s="193" t="s">
        <v>291</v>
      </c>
      <c r="Y3" t="s">
        <v>206</v>
      </c>
      <c r="AB3" s="184"/>
      <c r="AC3" s="185"/>
      <c r="AD3" s="185"/>
      <c r="AE3" s="185"/>
      <c r="AF3" s="176"/>
      <c r="AG3" s="176"/>
      <c r="AH3" s="185"/>
      <c r="AI3" s="185"/>
      <c r="AJ3" s="185"/>
      <c r="AK3" s="186"/>
      <c r="AL3" s="178"/>
      <c r="AM3" s="179"/>
      <c r="AN3" s="180"/>
      <c r="AO3" s="180"/>
      <c r="AP3" s="180"/>
      <c r="AQ3" s="181">
        <v>1</v>
      </c>
      <c r="AR3" s="181">
        <v>2</v>
      </c>
      <c r="AS3" s="181">
        <v>3</v>
      </c>
      <c r="AT3" s="181">
        <v>4</v>
      </c>
      <c r="AV3" s="1054"/>
      <c r="AW3" s="994"/>
      <c r="AX3" s="188" t="s">
        <v>292</v>
      </c>
      <c r="AY3" s="188">
        <v>1</v>
      </c>
      <c r="AZ3" s="188" t="str">
        <f>+_xlfn.CONCAT($AW$2,AY3)</f>
        <v>Norte1</v>
      </c>
      <c r="BA3" s="194">
        <v>0.82</v>
      </c>
      <c r="BB3" s="194">
        <v>0.74</v>
      </c>
      <c r="BC3" s="194">
        <v>0.62</v>
      </c>
      <c r="BD3" s="194">
        <v>0.39</v>
      </c>
      <c r="BF3" s="1054"/>
      <c r="BG3" s="190"/>
      <c r="BH3" s="183">
        <v>1</v>
      </c>
      <c r="BI3" s="183">
        <v>2</v>
      </c>
      <c r="BJ3" s="183">
        <v>3</v>
      </c>
      <c r="BL3" s="1054"/>
      <c r="BM3" s="190"/>
      <c r="BN3" s="195">
        <v>1</v>
      </c>
      <c r="BO3" s="195">
        <v>2</v>
      </c>
      <c r="BP3" s="195">
        <v>3</v>
      </c>
      <c r="BQ3" s="195">
        <v>4</v>
      </c>
      <c r="BR3" s="195">
        <v>5</v>
      </c>
      <c r="BS3" s="195">
        <v>6</v>
      </c>
      <c r="BT3" s="195">
        <v>7</v>
      </c>
    </row>
    <row r="4" spans="1:72" ht="24.6" x14ac:dyDescent="0.25">
      <c r="A4">
        <v>0.50477448520863399</v>
      </c>
      <c r="B4">
        <v>0.35988424617843201</v>
      </c>
      <c r="G4">
        <v>0.49</v>
      </c>
      <c r="H4">
        <f t="shared" si="0"/>
        <v>0.36527910999999996</v>
      </c>
      <c r="V4" t="s">
        <v>242</v>
      </c>
      <c r="X4" s="193" t="s">
        <v>293</v>
      </c>
      <c r="Y4" t="s">
        <v>210</v>
      </c>
      <c r="AB4" s="1032"/>
      <c r="AC4" s="1033"/>
      <c r="AD4" s="1033"/>
      <c r="AE4" s="1033"/>
      <c r="AF4" s="177"/>
      <c r="AG4" s="1064"/>
      <c r="AH4" s="1065"/>
      <c r="AI4" s="175"/>
      <c r="AJ4" s="1033"/>
      <c r="AK4" s="1034"/>
      <c r="AL4" s="993" t="s">
        <v>279</v>
      </c>
      <c r="AM4" s="187" t="s">
        <v>294</v>
      </c>
      <c r="AN4" s="188" t="s">
        <v>295</v>
      </c>
      <c r="AO4" s="196">
        <v>1</v>
      </c>
      <c r="AP4" s="196" t="str">
        <f>+_xlfn.CONCAT(AM4,AO4)</f>
        <v>Norte1</v>
      </c>
      <c r="AQ4" s="197">
        <v>0.82</v>
      </c>
      <c r="AR4" s="197">
        <v>0.5</v>
      </c>
      <c r="AS4" s="197">
        <v>0.28000000000000003</v>
      </c>
      <c r="AT4" s="197">
        <v>0.16</v>
      </c>
      <c r="AV4" s="1054"/>
      <c r="AW4" s="994"/>
      <c r="AX4" s="188" t="s">
        <v>296</v>
      </c>
      <c r="AY4" s="188">
        <v>2</v>
      </c>
      <c r="AZ4" s="188" t="str">
        <f t="shared" ref="AZ4:AZ6" si="1">+_xlfn.CONCAT($AW$2,AY4)</f>
        <v>Norte2</v>
      </c>
      <c r="BA4" s="194">
        <v>0.76</v>
      </c>
      <c r="BB4" s="194">
        <v>0.67</v>
      </c>
      <c r="BC4" s="194">
        <v>0.56000000000000005</v>
      </c>
      <c r="BD4" s="194">
        <v>0.35</v>
      </c>
      <c r="BF4" s="1054"/>
      <c r="BG4" s="198" t="s">
        <v>279</v>
      </c>
      <c r="BH4" s="194">
        <v>0.42</v>
      </c>
      <c r="BI4" s="194">
        <v>0.26</v>
      </c>
      <c r="BJ4" s="194">
        <v>0.62</v>
      </c>
      <c r="BL4" s="1054"/>
      <c r="BM4" s="198" t="s">
        <v>279</v>
      </c>
      <c r="BN4" s="197">
        <v>0.37</v>
      </c>
      <c r="BO4" s="197">
        <v>0.44</v>
      </c>
      <c r="BP4" s="197">
        <v>0.49</v>
      </c>
      <c r="BQ4" s="197">
        <v>0.53</v>
      </c>
      <c r="BR4" s="197">
        <v>0.47</v>
      </c>
      <c r="BS4" s="197">
        <v>0.41</v>
      </c>
      <c r="BT4" s="197">
        <v>0.32</v>
      </c>
    </row>
    <row r="5" spans="1:72" ht="24.6" x14ac:dyDescent="0.25">
      <c r="A5">
        <v>0.52082740946834505</v>
      </c>
      <c r="B5">
        <v>0.35373122509727101</v>
      </c>
      <c r="G5">
        <v>0.5</v>
      </c>
      <c r="H5">
        <f t="shared" si="0"/>
        <v>0.36122499999999996</v>
      </c>
      <c r="Y5" t="s">
        <v>297</v>
      </c>
      <c r="AB5" s="1032"/>
      <c r="AC5" s="1033"/>
      <c r="AD5" s="1033"/>
      <c r="AE5" s="1033"/>
      <c r="AF5" s="1034"/>
      <c r="AG5" s="1019"/>
      <c r="AH5" s="1021"/>
      <c r="AI5" s="1028"/>
      <c r="AJ5" s="1031"/>
      <c r="AK5" s="1015"/>
      <c r="AL5" s="994"/>
      <c r="AM5" s="187" t="s">
        <v>294</v>
      </c>
      <c r="AN5" s="188" t="s">
        <v>298</v>
      </c>
      <c r="AO5" s="196">
        <v>2</v>
      </c>
      <c r="AP5" s="196" t="str">
        <f t="shared" ref="AP5:AP18" si="2">+_xlfn.CONCAT(AM5,AO5)</f>
        <v>Norte2</v>
      </c>
      <c r="AQ5" s="197">
        <v>0.87</v>
      </c>
      <c r="AR5" s="197">
        <v>0.64</v>
      </c>
      <c r="AS5" s="197">
        <v>0.39</v>
      </c>
      <c r="AT5" s="197">
        <v>0.22</v>
      </c>
      <c r="AV5" s="1054"/>
      <c r="AW5" s="994"/>
      <c r="AX5" s="188" t="s">
        <v>299</v>
      </c>
      <c r="AY5" s="188">
        <v>3</v>
      </c>
      <c r="AZ5" s="188" t="str">
        <f t="shared" si="1"/>
        <v>Norte3</v>
      </c>
      <c r="BA5" s="194">
        <v>0.56000000000000005</v>
      </c>
      <c r="BB5" s="194">
        <v>0.51</v>
      </c>
      <c r="BC5" s="194">
        <v>0.39</v>
      </c>
      <c r="BD5" s="194">
        <v>0.27</v>
      </c>
      <c r="BF5" s="1054"/>
      <c r="BG5" s="198" t="s">
        <v>300</v>
      </c>
      <c r="BH5" s="199">
        <v>0.44</v>
      </c>
      <c r="BI5" s="199">
        <v>0.26</v>
      </c>
      <c r="BJ5" s="199">
        <v>0.72</v>
      </c>
      <c r="BL5" s="1054"/>
      <c r="BM5" s="198" t="s">
        <v>300</v>
      </c>
      <c r="BN5" s="200">
        <v>0.46</v>
      </c>
      <c r="BO5" s="200">
        <v>0.53</v>
      </c>
      <c r="BP5" s="200">
        <v>0.56000000000000005</v>
      </c>
      <c r="BQ5" s="200">
        <v>0.56000000000000005</v>
      </c>
      <c r="BR5" s="200">
        <v>0.47</v>
      </c>
      <c r="BS5" s="200">
        <v>0.4</v>
      </c>
      <c r="BT5" s="200">
        <v>0.3</v>
      </c>
    </row>
    <row r="6" spans="1:72" ht="24.6" x14ac:dyDescent="0.25">
      <c r="A6">
        <v>0.53396489232663003</v>
      </c>
      <c r="B6">
        <v>0.34757460470573798</v>
      </c>
      <c r="G6">
        <v>0.51</v>
      </c>
      <c r="H6">
        <f t="shared" si="0"/>
        <v>0.35724310999999997</v>
      </c>
      <c r="AB6" s="201"/>
      <c r="AC6" s="1047"/>
      <c r="AD6" s="1048"/>
      <c r="AE6" s="1048"/>
      <c r="AF6" s="1048"/>
      <c r="AG6" s="1033"/>
      <c r="AH6" s="1033"/>
      <c r="AI6" s="1033"/>
      <c r="AJ6" s="1034"/>
      <c r="AK6" s="1015"/>
      <c r="AL6" s="994"/>
      <c r="AM6" s="187" t="s">
        <v>294</v>
      </c>
      <c r="AN6" s="202" t="s">
        <v>301</v>
      </c>
      <c r="AO6" s="196">
        <v>3</v>
      </c>
      <c r="AP6" s="196" t="str">
        <f t="shared" si="2"/>
        <v>Norte3</v>
      </c>
      <c r="AQ6" s="203">
        <v>0.93</v>
      </c>
      <c r="AR6" s="203">
        <v>0.82</v>
      </c>
      <c r="AS6" s="203">
        <v>0.6</v>
      </c>
      <c r="AT6" s="203">
        <v>0.39</v>
      </c>
      <c r="AV6" s="1054"/>
      <c r="AW6" s="995"/>
      <c r="AX6" s="188" t="s">
        <v>302</v>
      </c>
      <c r="AY6" s="188">
        <v>4</v>
      </c>
      <c r="AZ6" s="188" t="str">
        <f t="shared" si="1"/>
        <v>Norte4</v>
      </c>
      <c r="BA6" s="194">
        <v>0.35</v>
      </c>
      <c r="BB6" s="194">
        <v>0.32</v>
      </c>
      <c r="BC6" s="194">
        <v>0.27</v>
      </c>
      <c r="BD6" s="194">
        <v>0.17</v>
      </c>
      <c r="BF6" s="1054"/>
      <c r="BG6" s="198" t="s">
        <v>303</v>
      </c>
      <c r="BH6" s="194">
        <v>0.44</v>
      </c>
      <c r="BI6" s="194">
        <v>0.26</v>
      </c>
      <c r="BJ6" s="194">
        <v>0.72</v>
      </c>
      <c r="BL6" s="1054"/>
      <c r="BM6" s="198" t="s">
        <v>303</v>
      </c>
      <c r="BN6" s="197">
        <v>0.38</v>
      </c>
      <c r="BO6" s="197">
        <v>0.44</v>
      </c>
      <c r="BP6" s="197">
        <v>0.5</v>
      </c>
      <c r="BQ6" s="197">
        <v>0.56000000000000005</v>
      </c>
      <c r="BR6" s="197">
        <v>0.53</v>
      </c>
      <c r="BS6" s="197">
        <v>0.48</v>
      </c>
      <c r="BT6" s="197">
        <v>0.38</v>
      </c>
    </row>
    <row r="7" spans="1:72" ht="15" x14ac:dyDescent="0.25">
      <c r="A7">
        <v>0.55001061796559703</v>
      </c>
      <c r="B7">
        <v>0.34389071053985998</v>
      </c>
      <c r="G7">
        <v>0.52</v>
      </c>
      <c r="H7">
        <f t="shared" si="0"/>
        <v>0.35333344</v>
      </c>
      <c r="AB7" s="184"/>
      <c r="AC7" s="1044"/>
      <c r="AD7" s="1045"/>
      <c r="AE7" s="1046"/>
      <c r="AF7" s="1045"/>
      <c r="AG7" s="1032"/>
      <c r="AH7" s="1033"/>
      <c r="AI7" s="1033"/>
      <c r="AJ7" s="1034"/>
      <c r="AK7" s="1015"/>
      <c r="AL7" s="994" t="s">
        <v>303</v>
      </c>
      <c r="AM7" s="187" t="s">
        <v>214</v>
      </c>
      <c r="AN7" s="204" t="s">
        <v>295</v>
      </c>
      <c r="AO7" s="196">
        <v>1</v>
      </c>
      <c r="AP7" s="196" t="str">
        <f t="shared" si="2"/>
        <v>NorEste1</v>
      </c>
      <c r="AQ7" s="205">
        <v>0.9</v>
      </c>
      <c r="AR7" s="205">
        <v>0.71</v>
      </c>
      <c r="AS7" s="205">
        <v>0.43</v>
      </c>
      <c r="AT7" s="205">
        <v>0.16</v>
      </c>
      <c r="AV7" s="1054"/>
      <c r="AW7" s="993" t="s">
        <v>303</v>
      </c>
      <c r="AX7" s="206" t="s">
        <v>292</v>
      </c>
      <c r="AY7" s="188">
        <v>1</v>
      </c>
      <c r="AZ7" s="188" t="str">
        <f>+_xlfn.CONCAT($AW$7,AY7)</f>
        <v>NorEste1</v>
      </c>
      <c r="BA7" s="199">
        <v>0.86</v>
      </c>
      <c r="BB7" s="199">
        <v>0.81</v>
      </c>
      <c r="BC7" s="199">
        <v>0.72</v>
      </c>
      <c r="BD7" s="199">
        <v>0.51</v>
      </c>
      <c r="BF7" s="1054"/>
      <c r="BG7" s="198" t="s">
        <v>304</v>
      </c>
      <c r="BH7" s="199">
        <v>0.45</v>
      </c>
      <c r="BI7" s="199">
        <v>0.27</v>
      </c>
      <c r="BJ7" s="199">
        <v>0.81</v>
      </c>
      <c r="BL7" s="1054"/>
      <c r="BM7" s="198" t="s">
        <v>304</v>
      </c>
      <c r="BN7" s="200">
        <v>0.39</v>
      </c>
      <c r="BO7" s="200">
        <v>0.47</v>
      </c>
      <c r="BP7" s="200">
        <v>0.54</v>
      </c>
      <c r="BQ7" s="200">
        <v>0.63</v>
      </c>
      <c r="BR7" s="200">
        <v>0.55000000000000004</v>
      </c>
      <c r="BS7" s="200">
        <v>0.45</v>
      </c>
      <c r="BT7" s="200">
        <v>0.32</v>
      </c>
    </row>
    <row r="8" spans="1:72" ht="32.4" x14ac:dyDescent="0.25">
      <c r="A8">
        <v>0.56460942083496801</v>
      </c>
      <c r="B8">
        <v>0.33650132634587199</v>
      </c>
      <c r="G8">
        <v>0.53</v>
      </c>
      <c r="H8">
        <f t="shared" si="0"/>
        <v>0.34949598999999992</v>
      </c>
      <c r="AB8" s="1032"/>
      <c r="AC8" s="1033"/>
      <c r="AD8" s="1034"/>
      <c r="AE8" s="1032"/>
      <c r="AF8" s="1034"/>
      <c r="AG8" s="1019"/>
      <c r="AH8" s="1021"/>
      <c r="AI8" s="1032"/>
      <c r="AJ8" s="1034"/>
      <c r="AK8" s="1015"/>
      <c r="AL8" s="994"/>
      <c r="AM8" s="187" t="s">
        <v>214</v>
      </c>
      <c r="AN8" s="206" t="s">
        <v>298</v>
      </c>
      <c r="AO8" s="196">
        <v>2</v>
      </c>
      <c r="AP8" s="196" t="str">
        <f t="shared" si="2"/>
        <v>NorEste2</v>
      </c>
      <c r="AQ8" s="200">
        <v>0.94</v>
      </c>
      <c r="AR8" s="200">
        <v>0.82</v>
      </c>
      <c r="AS8" s="200">
        <v>0.6</v>
      </c>
      <c r="AT8" s="200">
        <v>0.27</v>
      </c>
      <c r="AV8" s="1054"/>
      <c r="AW8" s="994"/>
      <c r="AX8" s="206" t="s">
        <v>296</v>
      </c>
      <c r="AY8" s="188">
        <v>2</v>
      </c>
      <c r="AZ8" s="188" t="str">
        <f t="shared" ref="AZ8:AZ10" si="3">+_xlfn.CONCAT($AW$7,AY8)</f>
        <v>NorEste2</v>
      </c>
      <c r="BA8" s="199">
        <v>0.79</v>
      </c>
      <c r="BB8" s="199">
        <v>0.74</v>
      </c>
      <c r="BC8" s="199">
        <v>0.66</v>
      </c>
      <c r="BD8" s="199">
        <v>0.47</v>
      </c>
      <c r="BF8" s="1055"/>
      <c r="BG8" s="198" t="s">
        <v>305</v>
      </c>
      <c r="BH8" s="194">
        <v>0.45</v>
      </c>
      <c r="BI8" s="194">
        <v>0.27</v>
      </c>
      <c r="BJ8" s="194">
        <v>0.81</v>
      </c>
      <c r="BL8" s="1055"/>
      <c r="BM8" s="198" t="s">
        <v>305</v>
      </c>
      <c r="BN8" s="197">
        <v>0.44</v>
      </c>
      <c r="BO8" s="197">
        <v>0.52</v>
      </c>
      <c r="BP8" s="197">
        <v>0.57999999999999996</v>
      </c>
      <c r="BQ8" s="197">
        <v>0.63</v>
      </c>
      <c r="BR8" s="197">
        <v>0.5</v>
      </c>
      <c r="BS8" s="197">
        <v>0.41</v>
      </c>
      <c r="BT8" s="197">
        <v>0.28999999999999998</v>
      </c>
    </row>
    <row r="9" spans="1:72" ht="32.4" x14ac:dyDescent="0.25">
      <c r="A9">
        <v>0.57775050300362396</v>
      </c>
      <c r="B9">
        <v>0.32911014249669701</v>
      </c>
      <c r="G9">
        <v>0.54</v>
      </c>
      <c r="H9">
        <f t="shared" si="0"/>
        <v>0.34573075999999991</v>
      </c>
      <c r="AB9" s="1037"/>
      <c r="AC9" s="1038"/>
      <c r="AD9" s="1038"/>
      <c r="AE9" s="1038"/>
      <c r="AF9" s="1039"/>
      <c r="AG9" s="1019"/>
      <c r="AH9" s="1021"/>
      <c r="AI9" s="1019"/>
      <c r="AJ9" s="1020"/>
      <c r="AK9" s="1021"/>
      <c r="AL9" s="994"/>
      <c r="AM9" s="187" t="s">
        <v>214</v>
      </c>
      <c r="AN9" s="206" t="s">
        <v>301</v>
      </c>
      <c r="AO9" s="196">
        <v>3</v>
      </c>
      <c r="AP9" s="196" t="str">
        <f t="shared" si="2"/>
        <v>NorEste3</v>
      </c>
      <c r="AQ9" s="200">
        <v>0.98</v>
      </c>
      <c r="AR9" s="200">
        <v>0.93</v>
      </c>
      <c r="AS9" s="200">
        <v>0.84</v>
      </c>
      <c r="AT9" s="200">
        <v>0.65</v>
      </c>
      <c r="AV9" s="1054"/>
      <c r="AW9" s="994"/>
      <c r="AX9" s="206" t="s">
        <v>299</v>
      </c>
      <c r="AY9" s="188">
        <v>3</v>
      </c>
      <c r="AZ9" s="188" t="str">
        <f t="shared" si="3"/>
        <v>NorEste3</v>
      </c>
      <c r="BA9" s="199">
        <v>0.59</v>
      </c>
      <c r="BB9" s="199">
        <v>0.56000000000000005</v>
      </c>
      <c r="BC9" s="199">
        <v>0.47</v>
      </c>
      <c r="BD9" s="199">
        <v>0.36</v>
      </c>
    </row>
    <row r="10" spans="1:72" ht="37.799999999999997" x14ac:dyDescent="0.25">
      <c r="A10">
        <v>0.59233490863150595</v>
      </c>
      <c r="B10">
        <v>0.32665901213327497</v>
      </c>
      <c r="G10">
        <v>0.55000000000000004</v>
      </c>
      <c r="H10">
        <f t="shared" si="0"/>
        <v>0.34203774999999992</v>
      </c>
      <c r="AB10" s="1040"/>
      <c r="AC10" s="1041"/>
      <c r="AD10" s="1041"/>
      <c r="AE10" s="1041"/>
      <c r="AF10" s="1042"/>
      <c r="AG10" s="1035"/>
      <c r="AH10" s="1036"/>
      <c r="AI10" s="1035"/>
      <c r="AJ10" s="1043"/>
      <c r="AK10" s="1036"/>
      <c r="AL10" s="1027" t="s">
        <v>215</v>
      </c>
      <c r="AM10" s="187" t="s">
        <v>215</v>
      </c>
      <c r="AN10" s="188" t="s">
        <v>295</v>
      </c>
      <c r="AO10" s="196">
        <v>1</v>
      </c>
      <c r="AP10" s="196" t="str">
        <f t="shared" si="2"/>
        <v>NorOeste1</v>
      </c>
      <c r="AQ10" s="197">
        <v>0.9</v>
      </c>
      <c r="AR10" s="197">
        <v>0.71</v>
      </c>
      <c r="AS10" s="197">
        <v>0.43</v>
      </c>
      <c r="AT10" s="197">
        <v>0.16</v>
      </c>
      <c r="AV10" s="1054"/>
      <c r="AW10" s="995"/>
      <c r="AX10" s="206" t="s">
        <v>302</v>
      </c>
      <c r="AY10" s="188">
        <v>4</v>
      </c>
      <c r="AZ10" s="188" t="str">
        <f t="shared" si="3"/>
        <v>NorEste4</v>
      </c>
      <c r="BA10" s="199">
        <v>0.38</v>
      </c>
      <c r="BB10" s="199">
        <v>0.36</v>
      </c>
      <c r="BC10" s="199">
        <v>0.32</v>
      </c>
      <c r="BD10" s="199">
        <v>0.23</v>
      </c>
    </row>
    <row r="11" spans="1:72" ht="37.799999999999997" x14ac:dyDescent="0.25">
      <c r="A11">
        <v>0.60254975146761802</v>
      </c>
      <c r="B11">
        <v>0.32296791934665298</v>
      </c>
      <c r="G11">
        <v>0.56000000000000005</v>
      </c>
      <c r="H11">
        <f t="shared" si="0"/>
        <v>0.33841695999999993</v>
      </c>
      <c r="AB11" s="184"/>
      <c r="AC11" s="1044"/>
      <c r="AD11" s="1044"/>
      <c r="AE11" s="1044"/>
      <c r="AF11" s="1044"/>
      <c r="AG11" s="1045"/>
      <c r="AH11" s="1046"/>
      <c r="AI11" s="1044"/>
      <c r="AJ11" s="1044"/>
      <c r="AK11" s="186"/>
      <c r="AL11" s="1027"/>
      <c r="AM11" s="187" t="s">
        <v>215</v>
      </c>
      <c r="AN11" s="188" t="s">
        <v>298</v>
      </c>
      <c r="AO11" s="196">
        <v>2</v>
      </c>
      <c r="AP11" s="196" t="str">
        <f t="shared" si="2"/>
        <v>NorOeste2</v>
      </c>
      <c r="AQ11" s="197">
        <v>0.94</v>
      </c>
      <c r="AR11" s="197">
        <v>0.82</v>
      </c>
      <c r="AS11" s="197">
        <v>0.6</v>
      </c>
      <c r="AT11" s="197">
        <v>0.27</v>
      </c>
      <c r="AV11" s="1054"/>
      <c r="AW11" s="993" t="s">
        <v>300</v>
      </c>
      <c r="AX11" s="188" t="s">
        <v>292</v>
      </c>
      <c r="AY11" s="188">
        <v>1</v>
      </c>
      <c r="AZ11" s="188" t="str">
        <f>+_xlfn.CONCAT($AW$11,AY11)</f>
        <v>NorOeste1</v>
      </c>
      <c r="BA11" s="194">
        <v>0.86</v>
      </c>
      <c r="BB11" s="194">
        <v>0.81</v>
      </c>
      <c r="BC11" s="194">
        <v>0.72</v>
      </c>
      <c r="BD11" s="194">
        <v>0.51</v>
      </c>
    </row>
    <row r="12" spans="1:72" ht="37.799999999999997" x14ac:dyDescent="0.25">
      <c r="A12">
        <v>0.61422591431481699</v>
      </c>
      <c r="B12">
        <v>0.31804406275757502</v>
      </c>
      <c r="G12">
        <v>0.56999999999999995</v>
      </c>
      <c r="H12">
        <f t="shared" si="0"/>
        <v>0.33486838999999996</v>
      </c>
      <c r="AB12" s="1007"/>
      <c r="AC12" s="1008"/>
      <c r="AD12" s="1008"/>
      <c r="AE12" s="1008"/>
      <c r="AF12" s="1008"/>
      <c r="AG12" s="1009"/>
      <c r="AH12" s="1013"/>
      <c r="AI12" s="1014"/>
      <c r="AJ12" s="1014"/>
      <c r="AK12" s="1015"/>
      <c r="AL12" s="1027"/>
      <c r="AM12" s="187" t="s">
        <v>215</v>
      </c>
      <c r="AN12" s="188" t="s">
        <v>301</v>
      </c>
      <c r="AO12" s="196">
        <v>3</v>
      </c>
      <c r="AP12" s="196" t="str">
        <f t="shared" si="2"/>
        <v>NorOeste3</v>
      </c>
      <c r="AQ12" s="197">
        <v>0.98</v>
      </c>
      <c r="AR12" s="197">
        <v>0.93</v>
      </c>
      <c r="AS12" s="197">
        <v>0.84</v>
      </c>
      <c r="AT12" s="197">
        <v>0.65</v>
      </c>
      <c r="AV12" s="1054"/>
      <c r="AW12" s="994"/>
      <c r="AX12" s="188" t="s">
        <v>296</v>
      </c>
      <c r="AY12" s="188">
        <v>2</v>
      </c>
      <c r="AZ12" s="188" t="str">
        <f t="shared" ref="AZ12:AZ14" si="4">+_xlfn.CONCAT($AW$11,AY12)</f>
        <v>NorOeste2</v>
      </c>
      <c r="BA12" s="194">
        <v>0.79</v>
      </c>
      <c r="BB12" s="194">
        <v>0.74</v>
      </c>
      <c r="BC12" s="194">
        <v>0.66</v>
      </c>
      <c r="BD12" s="194">
        <v>0.47</v>
      </c>
    </row>
    <row r="13" spans="1:72" ht="19.2" x14ac:dyDescent="0.25">
      <c r="A13">
        <v>0.63172936065449803</v>
      </c>
      <c r="B13">
        <v>0.31436196824688301</v>
      </c>
      <c r="G13">
        <v>0.57999999999999996</v>
      </c>
      <c r="H13">
        <f t="shared" si="0"/>
        <v>0.33139204</v>
      </c>
      <c r="AB13" s="1007"/>
      <c r="AC13" s="1008"/>
      <c r="AD13" s="1008"/>
      <c r="AE13" s="1008"/>
      <c r="AF13" s="1008"/>
      <c r="AG13" s="1009"/>
      <c r="AH13" s="1013"/>
      <c r="AI13" s="1014"/>
      <c r="AJ13" s="1014"/>
      <c r="AK13" s="1015"/>
      <c r="AL13" s="994" t="s">
        <v>306</v>
      </c>
      <c r="AM13" s="187" t="s">
        <v>306</v>
      </c>
      <c r="AN13" s="206" t="s">
        <v>295</v>
      </c>
      <c r="AO13" s="196">
        <v>1</v>
      </c>
      <c r="AP13" s="196" t="str">
        <f t="shared" si="2"/>
        <v>Este1</v>
      </c>
      <c r="AQ13" s="200">
        <v>0.92</v>
      </c>
      <c r="AR13" s="200">
        <v>0.77</v>
      </c>
      <c r="AS13" s="200">
        <v>0.55000000000000004</v>
      </c>
      <c r="AT13" s="200">
        <v>0.22</v>
      </c>
      <c r="AV13" s="1054"/>
      <c r="AW13" s="994"/>
      <c r="AX13" s="188" t="s">
        <v>299</v>
      </c>
      <c r="AY13" s="188">
        <v>3</v>
      </c>
      <c r="AZ13" s="188" t="str">
        <f t="shared" si="4"/>
        <v>NorOeste3</v>
      </c>
      <c r="BA13" s="194">
        <v>0.59</v>
      </c>
      <c r="BB13" s="194">
        <v>0.56000000000000005</v>
      </c>
      <c r="BC13" s="194">
        <v>0.47</v>
      </c>
      <c r="BD13" s="194">
        <v>0.36</v>
      </c>
    </row>
    <row r="14" spans="1:72" ht="19.2" x14ac:dyDescent="0.25">
      <c r="A14">
        <v>0.64923280699417896</v>
      </c>
      <c r="B14">
        <v>0.31067987373619199</v>
      </c>
      <c r="G14">
        <v>0.59</v>
      </c>
      <c r="H14">
        <f t="shared" si="0"/>
        <v>0.32798790999999994</v>
      </c>
      <c r="AB14" s="1007"/>
      <c r="AC14" s="1008"/>
      <c r="AD14" s="1008"/>
      <c r="AE14" s="1008"/>
      <c r="AF14" s="1008"/>
      <c r="AG14" s="1009"/>
      <c r="AH14" s="1013"/>
      <c r="AI14" s="1014"/>
      <c r="AJ14" s="1014"/>
      <c r="AK14" s="1015"/>
      <c r="AL14" s="994"/>
      <c r="AM14" s="187" t="s">
        <v>306</v>
      </c>
      <c r="AN14" s="206" t="s">
        <v>298</v>
      </c>
      <c r="AO14" s="196">
        <v>2</v>
      </c>
      <c r="AP14" s="196" t="str">
        <f t="shared" si="2"/>
        <v>Este2</v>
      </c>
      <c r="AQ14" s="200">
        <v>0.96</v>
      </c>
      <c r="AR14" s="200">
        <v>0.86</v>
      </c>
      <c r="AS14" s="200">
        <v>0.7</v>
      </c>
      <c r="AT14" s="200">
        <v>0.43</v>
      </c>
      <c r="AV14" s="1054"/>
      <c r="AW14" s="995"/>
      <c r="AX14" s="188" t="s">
        <v>302</v>
      </c>
      <c r="AY14" s="188">
        <v>4</v>
      </c>
      <c r="AZ14" s="188" t="str">
        <f t="shared" si="4"/>
        <v>NorOeste4</v>
      </c>
      <c r="BA14" s="194">
        <v>0.38</v>
      </c>
      <c r="BB14" s="194">
        <v>0.36</v>
      </c>
      <c r="BC14" s="194">
        <v>0.32</v>
      </c>
      <c r="BD14" s="194">
        <v>0.23</v>
      </c>
    </row>
    <row r="15" spans="1:72" ht="15" x14ac:dyDescent="0.25">
      <c r="A15">
        <v>0.66237388916283602</v>
      </c>
      <c r="B15">
        <v>0.30328868988701702</v>
      </c>
      <c r="G15">
        <v>0.6</v>
      </c>
      <c r="H15">
        <f t="shared" si="0"/>
        <v>0.324656</v>
      </c>
      <c r="AB15" s="1010"/>
      <c r="AC15" s="1011"/>
      <c r="AD15" s="1011"/>
      <c r="AE15" s="1011"/>
      <c r="AF15" s="1011"/>
      <c r="AG15" s="1012"/>
      <c r="AH15" s="1016"/>
      <c r="AI15" s="1017"/>
      <c r="AJ15" s="1017"/>
      <c r="AK15" s="1018"/>
      <c r="AL15" s="995"/>
      <c r="AM15" s="187" t="s">
        <v>306</v>
      </c>
      <c r="AN15" s="207" t="s">
        <v>301</v>
      </c>
      <c r="AO15" s="196">
        <v>3</v>
      </c>
      <c r="AP15" s="196" t="str">
        <f t="shared" si="2"/>
        <v>Este3</v>
      </c>
      <c r="AQ15" s="205">
        <v>0.99</v>
      </c>
      <c r="AR15" s="205">
        <v>0.96</v>
      </c>
      <c r="AS15" s="205">
        <v>0.89</v>
      </c>
      <c r="AT15" s="205">
        <v>0.75</v>
      </c>
      <c r="AV15" s="1054"/>
      <c r="AW15" s="993" t="s">
        <v>305</v>
      </c>
      <c r="AX15" s="206" t="s">
        <v>292</v>
      </c>
      <c r="AY15" s="188">
        <v>1</v>
      </c>
      <c r="AZ15" s="188" t="str">
        <f>+_xlfn.CONCAT($AW$15,AY15)</f>
        <v>Este1</v>
      </c>
      <c r="BA15" s="199">
        <v>0.91</v>
      </c>
      <c r="BB15" s="199">
        <v>0.87</v>
      </c>
      <c r="BC15" s="199">
        <v>0.81</v>
      </c>
      <c r="BD15" s="199">
        <v>0.65</v>
      </c>
    </row>
    <row r="16" spans="1:72" ht="24.6" x14ac:dyDescent="0.25">
      <c r="A16">
        <v>0.67258153337820403</v>
      </c>
      <c r="B16">
        <v>0.30206672401567802</v>
      </c>
      <c r="G16">
        <v>0.61</v>
      </c>
      <c r="H16">
        <f t="shared" si="0"/>
        <v>0.32139631000000002</v>
      </c>
      <c r="AB16" s="1019"/>
      <c r="AC16" s="1020"/>
      <c r="AD16" s="1020"/>
      <c r="AE16" s="1020"/>
      <c r="AF16" s="1021"/>
      <c r="AG16" s="1022"/>
      <c r="AH16" s="1023"/>
      <c r="AI16" s="1019"/>
      <c r="AJ16" s="1020"/>
      <c r="AK16" s="1021"/>
      <c r="AL16" s="1026" t="s">
        <v>307</v>
      </c>
      <c r="AM16" s="208" t="s">
        <v>307</v>
      </c>
      <c r="AN16" s="209" t="s">
        <v>295</v>
      </c>
      <c r="AO16" s="196">
        <v>1</v>
      </c>
      <c r="AP16" s="196" t="str">
        <f t="shared" si="2"/>
        <v>Oeste1</v>
      </c>
      <c r="AQ16" s="197">
        <v>0.92</v>
      </c>
      <c r="AR16" s="197">
        <v>0.77</v>
      </c>
      <c r="AS16" s="197">
        <v>0.55000000000000004</v>
      </c>
      <c r="AT16" s="197">
        <v>0.22</v>
      </c>
      <c r="AV16" s="1054"/>
      <c r="AW16" s="994"/>
      <c r="AX16" s="206" t="s">
        <v>296</v>
      </c>
      <c r="AY16" s="188">
        <v>2</v>
      </c>
      <c r="AZ16" s="188" t="str">
        <f t="shared" ref="AZ16:AZ18" si="5">+_xlfn.CONCAT($AW$15,AY16)</f>
        <v>Este2</v>
      </c>
      <c r="BA16" s="199">
        <v>0.86</v>
      </c>
      <c r="BB16" s="199">
        <v>0.82</v>
      </c>
      <c r="BC16" s="199">
        <v>0.76</v>
      </c>
      <c r="BD16" s="199">
        <v>0.61</v>
      </c>
    </row>
    <row r="17" spans="1:58" ht="24.6" x14ac:dyDescent="0.25">
      <c r="A17">
        <v>0.69154629972897197</v>
      </c>
      <c r="B17">
        <v>0.29715186570253099</v>
      </c>
      <c r="G17">
        <v>0.62</v>
      </c>
      <c r="H17">
        <f t="shared" si="0"/>
        <v>0.31820883999999994</v>
      </c>
      <c r="AB17" s="1019"/>
      <c r="AC17" s="1020"/>
      <c r="AD17" s="1020"/>
      <c r="AE17" s="1020"/>
      <c r="AF17" s="1021"/>
      <c r="AG17" s="1024"/>
      <c r="AH17" s="1025"/>
      <c r="AI17" s="1019"/>
      <c r="AJ17" s="1020"/>
      <c r="AK17" s="1021"/>
      <c r="AL17" s="1027"/>
      <c r="AM17" s="208" t="s">
        <v>307</v>
      </c>
      <c r="AN17" s="209" t="s">
        <v>298</v>
      </c>
      <c r="AO17" s="196">
        <v>2</v>
      </c>
      <c r="AP17" s="196" t="str">
        <f t="shared" si="2"/>
        <v>Oeste2</v>
      </c>
      <c r="AQ17" s="197">
        <v>0.96</v>
      </c>
      <c r="AR17" s="197">
        <v>0.86</v>
      </c>
      <c r="AS17" s="197">
        <v>0.7</v>
      </c>
      <c r="AT17" s="197">
        <v>0.43</v>
      </c>
      <c r="AV17" s="1054"/>
      <c r="AW17" s="994"/>
      <c r="AX17" s="206" t="s">
        <v>299</v>
      </c>
      <c r="AY17" s="188">
        <v>3</v>
      </c>
      <c r="AZ17" s="188" t="str">
        <f t="shared" si="5"/>
        <v>Este3</v>
      </c>
      <c r="BA17" s="199">
        <v>0.71</v>
      </c>
      <c r="BB17" s="199">
        <v>0.68</v>
      </c>
      <c r="BC17" s="199">
        <v>0.61</v>
      </c>
      <c r="BD17" s="199">
        <v>0.51</v>
      </c>
    </row>
    <row r="18" spans="1:58" ht="24.6" x14ac:dyDescent="0.25">
      <c r="A18">
        <v>0.70759562467831105</v>
      </c>
      <c r="B18">
        <v>0.29223340807901199</v>
      </c>
      <c r="G18">
        <v>0.63</v>
      </c>
      <c r="H18">
        <f t="shared" si="0"/>
        <v>0.31509358999999992</v>
      </c>
      <c r="AB18" s="1028"/>
      <c r="AC18" s="1029"/>
      <c r="AD18" s="1029"/>
      <c r="AE18" s="1029"/>
      <c r="AF18" s="1029"/>
      <c r="AG18" s="1030"/>
      <c r="AH18" s="1030"/>
      <c r="AI18" s="1029"/>
      <c r="AJ18" s="1029"/>
      <c r="AK18" s="1031"/>
      <c r="AL18" s="1027"/>
      <c r="AM18" s="208" t="s">
        <v>307</v>
      </c>
      <c r="AN18" s="209" t="s">
        <v>301</v>
      </c>
      <c r="AO18" s="196">
        <v>3</v>
      </c>
      <c r="AP18" s="196" t="str">
        <f t="shared" si="2"/>
        <v>Oeste3</v>
      </c>
      <c r="AQ18" s="197">
        <v>0.99</v>
      </c>
      <c r="AR18" s="197">
        <v>0.96</v>
      </c>
      <c r="AS18" s="197">
        <v>0.89</v>
      </c>
      <c r="AT18" s="197">
        <v>0.75</v>
      </c>
      <c r="AV18" s="1054"/>
      <c r="AW18" s="995"/>
      <c r="AX18" s="206" t="s">
        <v>302</v>
      </c>
      <c r="AY18" s="188">
        <v>4</v>
      </c>
      <c r="AZ18" s="188" t="str">
        <f t="shared" si="5"/>
        <v>Este4</v>
      </c>
      <c r="BA18" s="199">
        <v>0.53</v>
      </c>
      <c r="BB18" s="199">
        <v>0.51</v>
      </c>
      <c r="BC18" s="199">
        <v>0.48</v>
      </c>
      <c r="BD18" s="199">
        <v>0.39</v>
      </c>
    </row>
    <row r="19" spans="1:58" x14ac:dyDescent="0.25">
      <c r="A19">
        <v>0.72801091310904797</v>
      </c>
      <c r="B19">
        <v>0.28978947633633401</v>
      </c>
      <c r="G19">
        <v>0.64</v>
      </c>
      <c r="H19">
        <f t="shared" si="0"/>
        <v>0.31205055999999998</v>
      </c>
      <c r="AB19" s="987" t="s">
        <v>308</v>
      </c>
      <c r="AC19" s="988"/>
      <c r="AD19" s="988"/>
      <c r="AE19" s="988"/>
      <c r="AF19" s="988"/>
      <c r="AG19" s="988"/>
      <c r="AH19" s="988"/>
      <c r="AI19" s="988"/>
      <c r="AJ19" s="988"/>
      <c r="AK19" s="988"/>
      <c r="AL19" s="210"/>
      <c r="AV19" s="1054"/>
      <c r="AW19" s="993" t="s">
        <v>304</v>
      </c>
      <c r="AX19" s="188" t="s">
        <v>292</v>
      </c>
      <c r="AY19" s="188">
        <v>1</v>
      </c>
      <c r="AZ19" s="188" t="str">
        <f>+_xlfn.CONCAT($AW$19,AY19)</f>
        <v>Oeste1</v>
      </c>
      <c r="BA19" s="194">
        <v>0.91</v>
      </c>
      <c r="BB19" s="194">
        <v>0.87</v>
      </c>
      <c r="BC19" s="194">
        <v>0.81</v>
      </c>
      <c r="BD19" s="194">
        <v>0.65</v>
      </c>
    </row>
    <row r="20" spans="1:58" x14ac:dyDescent="0.25">
      <c r="A20">
        <v>0.74114119734658801</v>
      </c>
      <c r="B20">
        <v>0.28610198286008398</v>
      </c>
      <c r="G20">
        <v>0.65</v>
      </c>
      <c r="H20">
        <f t="shared" si="0"/>
        <v>0.30907974999999999</v>
      </c>
      <c r="V20" s="211" t="s">
        <v>309</v>
      </c>
      <c r="AB20" s="989"/>
      <c r="AC20" s="990"/>
      <c r="AD20" s="990"/>
      <c r="AE20" s="990"/>
      <c r="AF20" s="990"/>
      <c r="AG20" s="990"/>
      <c r="AH20" s="990"/>
      <c r="AI20" s="990"/>
      <c r="AJ20" s="990"/>
      <c r="AK20" s="990"/>
      <c r="AL20" s="212"/>
      <c r="AO20" s="213" t="s">
        <v>310</v>
      </c>
      <c r="AP20" s="213"/>
      <c r="AQ20" s="214">
        <v>0.8</v>
      </c>
      <c r="AV20" s="1054"/>
      <c r="AW20" s="994"/>
      <c r="AX20" s="188" t="s">
        <v>296</v>
      </c>
      <c r="AY20" s="188">
        <v>2</v>
      </c>
      <c r="AZ20" s="188" t="str">
        <f t="shared" ref="AZ20:AZ22" si="6">+_xlfn.CONCAT($AW$19,AY20)</f>
        <v>Oeste2</v>
      </c>
      <c r="BA20" s="194">
        <v>0.86</v>
      </c>
      <c r="BB20" s="194">
        <v>0.82</v>
      </c>
      <c r="BC20" s="194">
        <v>0.76</v>
      </c>
      <c r="BD20" s="194">
        <v>0.61</v>
      </c>
    </row>
    <row r="21" spans="1:58" x14ac:dyDescent="0.25">
      <c r="A21">
        <v>0.75281016157304204</v>
      </c>
      <c r="B21">
        <v>0.28364725318628897</v>
      </c>
      <c r="G21">
        <v>0.66</v>
      </c>
      <c r="H21">
        <f t="shared" si="0"/>
        <v>0.30618115999999995</v>
      </c>
      <c r="P21" s="215" t="s">
        <v>311</v>
      </c>
      <c r="Q21" s="215" t="s">
        <v>312</v>
      </c>
      <c r="R21" s="215" t="s">
        <v>313</v>
      </c>
      <c r="S21" s="215" t="s">
        <v>314</v>
      </c>
      <c r="T21" s="215" t="s">
        <v>315</v>
      </c>
      <c r="U21" s="211" t="s">
        <v>316</v>
      </c>
      <c r="V21" s="66">
        <v>0.4</v>
      </c>
      <c r="AB21" s="991"/>
      <c r="AC21" s="992"/>
      <c r="AD21" s="992"/>
      <c r="AE21" s="992"/>
      <c r="AF21" s="992"/>
      <c r="AG21" s="992"/>
      <c r="AH21" s="992"/>
      <c r="AI21" s="992"/>
      <c r="AJ21" s="992"/>
      <c r="AK21" s="992"/>
      <c r="AL21" s="216"/>
      <c r="AO21" s="213" t="s">
        <v>317</v>
      </c>
      <c r="AP21" s="213"/>
      <c r="AQ21" s="214">
        <v>0.2</v>
      </c>
      <c r="AV21" s="1054"/>
      <c r="AW21" s="994"/>
      <c r="AX21" s="188" t="s">
        <v>299</v>
      </c>
      <c r="AY21" s="188">
        <v>3</v>
      </c>
      <c r="AZ21" s="188" t="str">
        <f t="shared" si="6"/>
        <v>Oeste3</v>
      </c>
      <c r="BA21" s="194">
        <v>0.71</v>
      </c>
      <c r="BB21" s="194">
        <v>0.68</v>
      </c>
      <c r="BC21" s="194">
        <v>0.61</v>
      </c>
      <c r="BD21" s="194">
        <v>0.51</v>
      </c>
    </row>
    <row r="22" spans="1:58" x14ac:dyDescent="0.25">
      <c r="A22">
        <v>0.76448272510986903</v>
      </c>
      <c r="B22">
        <v>0.27995796005485302</v>
      </c>
      <c r="G22">
        <v>0.67</v>
      </c>
      <c r="H22">
        <f t="shared" si="0"/>
        <v>0.30335478999999999</v>
      </c>
      <c r="P22" s="217" t="s">
        <v>237</v>
      </c>
      <c r="Q22" s="218">
        <v>0.4</v>
      </c>
      <c r="R22" s="218">
        <v>0.7</v>
      </c>
      <c r="S22" s="219">
        <f>+(0.25-0.4)/(0.7-0.4)</f>
        <v>-0.50000000000000022</v>
      </c>
      <c r="T22" s="220">
        <v>0.4</v>
      </c>
      <c r="U22" s="221">
        <v>0.25</v>
      </c>
      <c r="V22" s="66">
        <v>0.3</v>
      </c>
      <c r="AL22" s="216"/>
      <c r="AO22" s="213" t="s">
        <v>318</v>
      </c>
      <c r="AP22" s="222"/>
      <c r="AQ22" t="s">
        <v>214</v>
      </c>
      <c r="AV22" s="1055"/>
      <c r="AW22" s="995"/>
      <c r="AX22" s="188" t="s">
        <v>302</v>
      </c>
      <c r="AY22" s="188">
        <v>4</v>
      </c>
      <c r="AZ22" s="188" t="str">
        <f t="shared" si="6"/>
        <v>Oeste4</v>
      </c>
      <c r="BA22" s="194">
        <v>0.53</v>
      </c>
      <c r="BB22" s="194">
        <v>0.51</v>
      </c>
      <c r="BC22" s="194">
        <v>0.48</v>
      </c>
      <c r="BD22" s="194">
        <v>0.39</v>
      </c>
    </row>
    <row r="23" spans="1:58" x14ac:dyDescent="0.25">
      <c r="A23">
        <v>0.77615168933632295</v>
      </c>
      <c r="B23">
        <v>0.27750323038105901</v>
      </c>
      <c r="G23">
        <v>0.68</v>
      </c>
      <c r="H23">
        <f t="shared" si="0"/>
        <v>0.30060063999999997</v>
      </c>
      <c r="P23" s="215" t="s">
        <v>319</v>
      </c>
      <c r="Q23" s="218">
        <v>0.4</v>
      </c>
      <c r="R23" s="218">
        <v>0.7</v>
      </c>
      <c r="S23" s="219">
        <f>+(0.3-0.2)/(0.4-0.7)</f>
        <v>-0.33333333333333331</v>
      </c>
      <c r="T23" s="220">
        <v>0.4</v>
      </c>
      <c r="U23" s="221">
        <v>0.2</v>
      </c>
      <c r="AL23" s="210"/>
      <c r="AN23">
        <f>+VLOOKUP(AQ22,AM4:AT18,3,0)</f>
        <v>1</v>
      </c>
    </row>
    <row r="24" spans="1:58" x14ac:dyDescent="0.25">
      <c r="A24">
        <v>0.78635933355169096</v>
      </c>
      <c r="B24">
        <v>0.27628126450971902</v>
      </c>
      <c r="G24">
        <v>0.69</v>
      </c>
      <c r="H24">
        <f t="shared" si="0"/>
        <v>0.29791870999999992</v>
      </c>
      <c r="P24" s="215"/>
      <c r="Q24" s="215"/>
      <c r="R24" s="215"/>
      <c r="S24" s="217"/>
      <c r="T24" s="217"/>
      <c r="U24" s="221"/>
      <c r="AN24" t="e">
        <f>+MATCH(0.4,AO4:AO18,0)</f>
        <v>#N/A</v>
      </c>
    </row>
    <row r="25" spans="1:58" x14ac:dyDescent="0.25">
      <c r="A25">
        <v>0.79802469846777302</v>
      </c>
      <c r="B25">
        <v>0.27506109829356601</v>
      </c>
      <c r="G25">
        <v>0.7</v>
      </c>
      <c r="H25">
        <f t="shared" si="0"/>
        <v>0.29530899999999993</v>
      </c>
      <c r="Q25" s="221"/>
      <c r="R25" s="221"/>
      <c r="S25" s="221"/>
      <c r="T25" s="221"/>
      <c r="U25" s="221"/>
    </row>
    <row r="26" spans="1:58" x14ac:dyDescent="0.25">
      <c r="A26">
        <v>0.80969366269422705</v>
      </c>
      <c r="B26">
        <v>0.272606368619772</v>
      </c>
      <c r="G26">
        <v>0.71</v>
      </c>
      <c r="H26">
        <f t="shared" si="0"/>
        <v>0.29277150999999996</v>
      </c>
      <c r="J26" t="s">
        <v>320</v>
      </c>
      <c r="O26" t="s">
        <v>321</v>
      </c>
      <c r="Q26" s="221"/>
      <c r="R26" s="221"/>
      <c r="S26" s="221"/>
      <c r="T26" s="221"/>
      <c r="U26" s="221"/>
    </row>
    <row r="27" spans="1:58" x14ac:dyDescent="0.25">
      <c r="A27">
        <v>0.82427806832210904</v>
      </c>
      <c r="B27">
        <v>0.27015523825635002</v>
      </c>
      <c r="G27">
        <v>0.72</v>
      </c>
      <c r="H27">
        <f t="shared" si="0"/>
        <v>0.29030623999999994</v>
      </c>
      <c r="O27" s="215"/>
      <c r="P27" s="996" t="s">
        <v>322</v>
      </c>
      <c r="Q27" s="996"/>
      <c r="R27" s="996"/>
      <c r="S27" s="996"/>
      <c r="T27" s="996"/>
    </row>
    <row r="28" spans="1:58" ht="21" customHeight="1" thickBot="1" x14ac:dyDescent="0.3">
      <c r="A28">
        <v>0.83595063185893503</v>
      </c>
      <c r="B28">
        <v>0.26646594512491401</v>
      </c>
      <c r="G28">
        <v>0.73</v>
      </c>
      <c r="H28">
        <f t="shared" si="0"/>
        <v>0.28791318999999993</v>
      </c>
      <c r="J28" s="223" t="s">
        <v>323</v>
      </c>
      <c r="K28" s="224" t="s">
        <v>324</v>
      </c>
      <c r="L28" s="224" t="s">
        <v>325</v>
      </c>
      <c r="M28" s="224" t="s">
        <v>326</v>
      </c>
      <c r="O28" s="225" t="s">
        <v>327</v>
      </c>
      <c r="P28" s="225" t="s">
        <v>328</v>
      </c>
      <c r="Q28" s="226" t="s">
        <v>197</v>
      </c>
      <c r="R28" s="226" t="s">
        <v>329</v>
      </c>
      <c r="S28" s="226" t="s">
        <v>330</v>
      </c>
      <c r="T28" s="226" t="s">
        <v>331</v>
      </c>
    </row>
    <row r="29" spans="1:58" ht="13.8" x14ac:dyDescent="0.25">
      <c r="A29">
        <v>0.85199275818753095</v>
      </c>
      <c r="B29">
        <v>0.26401661441667701</v>
      </c>
      <c r="G29">
        <v>0.74</v>
      </c>
      <c r="H29">
        <f t="shared" si="0"/>
        <v>0.28559235999999999</v>
      </c>
      <c r="J29" s="227" t="s">
        <v>332</v>
      </c>
      <c r="K29" s="228">
        <v>0.2</v>
      </c>
      <c r="L29" s="228">
        <v>0.3</v>
      </c>
      <c r="M29" s="229" t="s">
        <v>333</v>
      </c>
      <c r="O29" s="230" t="s">
        <v>334</v>
      </c>
      <c r="P29" s="231">
        <v>0</v>
      </c>
      <c r="Q29" s="232">
        <v>0.7</v>
      </c>
      <c r="R29" s="232">
        <v>0.5</v>
      </c>
      <c r="S29" s="233">
        <v>0.3</v>
      </c>
      <c r="T29" s="233">
        <v>0.1</v>
      </c>
      <c r="AW29" s="234" t="s">
        <v>335</v>
      </c>
      <c r="AX29" s="235">
        <f>+VLOOKUP('A5'!D14,'Formula limites'!O29:P31,2,0)</f>
        <v>0.2</v>
      </c>
      <c r="AY29" s="986" t="s">
        <v>336</v>
      </c>
      <c r="AZ29" s="986"/>
      <c r="BA29" s="986"/>
      <c r="BB29" s="986"/>
      <c r="BC29" s="997" t="s">
        <v>337</v>
      </c>
      <c r="BD29" s="998"/>
      <c r="BE29" s="998"/>
      <c r="BF29" s="999"/>
    </row>
    <row r="30" spans="1:58" ht="39.6" x14ac:dyDescent="0.25">
      <c r="A30">
        <v>0.87094672660718198</v>
      </c>
      <c r="B30">
        <v>0.26280544647645498</v>
      </c>
      <c r="G30">
        <v>0.75</v>
      </c>
      <c r="H30">
        <f t="shared" si="0"/>
        <v>0.28334375000000001</v>
      </c>
      <c r="J30" s="227" t="s">
        <v>338</v>
      </c>
      <c r="K30" s="236">
        <v>0.3</v>
      </c>
      <c r="L30" s="236">
        <v>0.5</v>
      </c>
      <c r="M30" s="236">
        <v>0.7</v>
      </c>
      <c r="O30" s="230" t="s">
        <v>201</v>
      </c>
      <c r="P30" s="237">
        <v>0.2</v>
      </c>
      <c r="Q30" s="237">
        <v>0.6</v>
      </c>
      <c r="R30" s="237">
        <v>0.4</v>
      </c>
      <c r="S30" s="237">
        <v>0.2</v>
      </c>
      <c r="T30" s="237">
        <v>0.1</v>
      </c>
      <c r="AW30" s="238" t="s">
        <v>339</v>
      </c>
      <c r="AX30" s="174">
        <f>+VLOOKUP('A5'!D14,'Formula limites'!O29:T31,MATCH('A5'!D15,'Formula limites'!Q28:T28,0)+2,0)</f>
        <v>0.6</v>
      </c>
      <c r="AY30" s="1006" t="s">
        <v>340</v>
      </c>
      <c r="AZ30" s="1006"/>
      <c r="BA30" s="1006"/>
      <c r="BB30" s="1006"/>
      <c r="BC30" s="1000"/>
      <c r="BD30" s="1001"/>
      <c r="BE30" s="1001"/>
      <c r="BF30" s="1002"/>
    </row>
    <row r="31" spans="1:58" ht="26.4" x14ac:dyDescent="0.25">
      <c r="A31">
        <v>0.89428105574971795</v>
      </c>
      <c r="B31">
        <v>0.25913055058650702</v>
      </c>
      <c r="G31">
        <v>0.76</v>
      </c>
      <c r="H31">
        <f t="shared" si="0"/>
        <v>0.28116735999999998</v>
      </c>
      <c r="J31" s="227" t="s">
        <v>341</v>
      </c>
      <c r="K31" s="228">
        <v>0.35</v>
      </c>
      <c r="L31" s="228">
        <v>0.55000000000000004</v>
      </c>
      <c r="M31" s="228">
        <v>0.75</v>
      </c>
      <c r="O31" s="230" t="s">
        <v>342</v>
      </c>
      <c r="P31" s="239">
        <v>0.4</v>
      </c>
      <c r="Q31" s="239">
        <v>0.4</v>
      </c>
      <c r="R31" s="239">
        <v>0.3</v>
      </c>
      <c r="S31" s="239">
        <v>0.2</v>
      </c>
      <c r="T31" s="239">
        <v>0.1</v>
      </c>
      <c r="AW31" s="238" t="s">
        <v>343</v>
      </c>
      <c r="AX31" s="240">
        <f>1-AX29-AX30</f>
        <v>0.20000000000000007</v>
      </c>
      <c r="AY31" s="965" t="s">
        <v>344</v>
      </c>
      <c r="AZ31" s="965"/>
      <c r="BA31" s="965"/>
      <c r="BB31" s="965"/>
      <c r="BC31" s="1003"/>
      <c r="BD31" s="1004"/>
      <c r="BE31" s="1004"/>
      <c r="BF31" s="1005"/>
    </row>
    <row r="32" spans="1:58" ht="15.6" x14ac:dyDescent="0.3">
      <c r="A32">
        <v>0.91177730346865504</v>
      </c>
      <c r="B32">
        <v>0.25791758299109802</v>
      </c>
      <c r="G32">
        <v>0.77</v>
      </c>
      <c r="H32">
        <f t="shared" si="0"/>
        <v>0.27906319000000002</v>
      </c>
      <c r="J32" s="227" t="s">
        <v>345</v>
      </c>
      <c r="K32" s="236">
        <v>0.5</v>
      </c>
      <c r="L32" s="236">
        <v>0.75</v>
      </c>
      <c r="M32" s="236">
        <v>0.92</v>
      </c>
      <c r="AW32" s="241"/>
      <c r="AX32" s="172"/>
      <c r="AY32" s="985"/>
      <c r="AZ32" s="985"/>
      <c r="BA32" s="985"/>
      <c r="BB32" s="985"/>
      <c r="BC32" s="242"/>
      <c r="BD32" s="242"/>
      <c r="BE32" s="242"/>
      <c r="BF32" s="243"/>
    </row>
    <row r="33" spans="1:58" ht="13.8" x14ac:dyDescent="0.25">
      <c r="A33">
        <v>0.93802347470224701</v>
      </c>
      <c r="B33">
        <v>0.25548084986916503</v>
      </c>
      <c r="G33">
        <v>0.78</v>
      </c>
      <c r="H33">
        <f t="shared" si="0"/>
        <v>0.2770312399999999</v>
      </c>
      <c r="J33" s="227" t="s">
        <v>346</v>
      </c>
      <c r="K33" s="228">
        <v>0.65</v>
      </c>
      <c r="L33" s="228">
        <v>0.8</v>
      </c>
      <c r="M33" s="228">
        <v>0.9</v>
      </c>
      <c r="AW33" s="979" t="s">
        <v>347</v>
      </c>
      <c r="AX33" s="980"/>
      <c r="AY33" s="981" t="s">
        <v>249</v>
      </c>
      <c r="AZ33" s="982"/>
      <c r="BA33" s="982"/>
      <c r="BB33" s="980"/>
      <c r="BC33" s="983" t="s">
        <v>348</v>
      </c>
      <c r="BD33" s="983"/>
      <c r="BE33" s="983"/>
      <c r="BF33" s="984"/>
    </row>
    <row r="34" spans="1:58" ht="13.8" x14ac:dyDescent="0.25">
      <c r="A34">
        <v>0.94677339821690099</v>
      </c>
      <c r="B34">
        <v>0.25425708434263999</v>
      </c>
      <c r="G34">
        <v>0.79</v>
      </c>
      <c r="H34">
        <f t="shared" si="0"/>
        <v>0.27507150999999991</v>
      </c>
      <c r="J34" s="227" t="s">
        <v>349</v>
      </c>
      <c r="K34" s="236">
        <v>0.4</v>
      </c>
      <c r="L34" s="236">
        <v>0.7</v>
      </c>
      <c r="M34" s="236">
        <v>0.88</v>
      </c>
      <c r="AW34" s="244" t="s">
        <v>350</v>
      </c>
      <c r="AX34" s="245">
        <v>30</v>
      </c>
      <c r="AY34" s="965" t="s">
        <v>351</v>
      </c>
      <c r="AZ34" s="965"/>
      <c r="BA34" s="965"/>
      <c r="BB34" s="965"/>
      <c r="BC34" s="969" t="s">
        <v>352</v>
      </c>
      <c r="BD34" s="970"/>
      <c r="BE34" s="970"/>
      <c r="BF34" s="971"/>
    </row>
    <row r="35" spans="1:58" ht="13.8" x14ac:dyDescent="0.25">
      <c r="A35">
        <v>0.96865000665872403</v>
      </c>
      <c r="B35">
        <v>0.25058038879750599</v>
      </c>
      <c r="G35">
        <v>0.8</v>
      </c>
      <c r="H35">
        <f t="shared" si="0"/>
        <v>0.27318399999999993</v>
      </c>
      <c r="J35" s="227" t="s">
        <v>353</v>
      </c>
      <c r="K35" s="228">
        <v>0.5</v>
      </c>
      <c r="L35" s="228">
        <v>0.8</v>
      </c>
      <c r="M35" s="228">
        <v>0.95</v>
      </c>
      <c r="AW35" s="244" t="s">
        <v>354</v>
      </c>
      <c r="AX35" s="240">
        <f>(1/'A5'!C4+1/AX34)^(-1)</f>
        <v>1.7868338557993733</v>
      </c>
      <c r="AY35" s="965" t="s">
        <v>355</v>
      </c>
      <c r="AZ35" s="965"/>
      <c r="BA35" s="965"/>
      <c r="BB35" s="965"/>
      <c r="BC35" s="969"/>
      <c r="BD35" s="970"/>
      <c r="BE35" s="970"/>
      <c r="BF35" s="971"/>
    </row>
    <row r="36" spans="1:58" ht="45.45" customHeight="1" x14ac:dyDescent="0.25">
      <c r="A36">
        <v>0.99051581716943005</v>
      </c>
      <c r="B36">
        <v>0.250607383625297</v>
      </c>
      <c r="G36">
        <v>0.81</v>
      </c>
      <c r="H36">
        <f t="shared" si="0"/>
        <v>0.27136870999999996</v>
      </c>
      <c r="J36" s="227" t="s">
        <v>356</v>
      </c>
      <c r="K36" s="236">
        <v>0.4</v>
      </c>
      <c r="L36" s="236">
        <v>0.65</v>
      </c>
      <c r="M36" s="246" t="s">
        <v>333</v>
      </c>
      <c r="AW36" s="247" t="s">
        <v>357</v>
      </c>
      <c r="AX36" s="248">
        <f>'A5'!C5*(1-('A5'!C5*AX30)-AX31*(AX35/AX34))</f>
        <v>0.3926788087774295</v>
      </c>
      <c r="AY36" s="965" t="s">
        <v>358</v>
      </c>
      <c r="AZ36" s="965"/>
      <c r="BA36" s="965"/>
      <c r="BB36" s="965"/>
      <c r="BC36" s="976"/>
      <c r="BD36" s="977"/>
      <c r="BE36" s="977"/>
      <c r="BF36" s="978"/>
    </row>
    <row r="37" spans="1:58" ht="15.6" x14ac:dyDescent="0.3">
      <c r="A37">
        <v>1</v>
      </c>
      <c r="B37">
        <v>0.24938001878839999</v>
      </c>
      <c r="G37">
        <v>0.82</v>
      </c>
      <c r="H37">
        <f t="shared" si="0"/>
        <v>0.26962563999999994</v>
      </c>
      <c r="J37" s="227" t="s">
        <v>359</v>
      </c>
      <c r="K37" s="229" t="s">
        <v>333</v>
      </c>
      <c r="L37" s="228">
        <v>0.96</v>
      </c>
      <c r="M37" s="229" t="s">
        <v>333</v>
      </c>
      <c r="AW37" s="241"/>
      <c r="AX37" s="172"/>
      <c r="AY37" s="171"/>
      <c r="AZ37" s="173"/>
      <c r="BA37" s="171"/>
      <c r="BB37" s="171"/>
      <c r="BC37" s="170"/>
      <c r="BD37" s="170"/>
      <c r="BE37" s="170"/>
      <c r="BF37" s="249"/>
    </row>
    <row r="38" spans="1:58" ht="13.8" x14ac:dyDescent="0.25">
      <c r="G38">
        <v>0.83</v>
      </c>
      <c r="H38">
        <f t="shared" si="0"/>
        <v>0.26795479</v>
      </c>
      <c r="AW38" s="979" t="s">
        <v>290</v>
      </c>
      <c r="AX38" s="980"/>
      <c r="AY38" s="981" t="s">
        <v>249</v>
      </c>
      <c r="AZ38" s="982"/>
      <c r="BA38" s="982"/>
      <c r="BB38" s="980"/>
      <c r="BC38" s="983" t="s">
        <v>348</v>
      </c>
      <c r="BD38" s="983"/>
      <c r="BE38" s="983"/>
      <c r="BF38" s="984"/>
    </row>
    <row r="39" spans="1:58" ht="13.8" x14ac:dyDescent="0.25">
      <c r="G39">
        <v>0.84</v>
      </c>
      <c r="H39">
        <f t="shared" si="0"/>
        <v>0.26635615999999995</v>
      </c>
      <c r="AW39" s="244" t="s">
        <v>360</v>
      </c>
      <c r="AX39" s="245">
        <v>5</v>
      </c>
      <c r="AY39" s="965" t="s">
        <v>351</v>
      </c>
      <c r="AZ39" s="965"/>
      <c r="BA39" s="965"/>
      <c r="BB39" s="965"/>
      <c r="BC39" s="966" t="s">
        <v>352</v>
      </c>
      <c r="BD39" s="967"/>
      <c r="BE39" s="967"/>
      <c r="BF39" s="968"/>
    </row>
    <row r="40" spans="1:58" ht="13.8" x14ac:dyDescent="0.25">
      <c r="G40">
        <v>0.85</v>
      </c>
      <c r="H40">
        <f t="shared" si="0"/>
        <v>0.26482974999999997</v>
      </c>
      <c r="AW40" s="244" t="s">
        <v>350</v>
      </c>
      <c r="AX40" s="245">
        <v>10</v>
      </c>
      <c r="AY40" s="965" t="s">
        <v>351</v>
      </c>
      <c r="AZ40" s="965"/>
      <c r="BA40" s="965"/>
      <c r="BB40" s="965"/>
      <c r="BC40" s="969"/>
      <c r="BD40" s="970"/>
      <c r="BE40" s="970"/>
      <c r="BF40" s="971"/>
    </row>
    <row r="41" spans="1:58" ht="13.8" x14ac:dyDescent="0.25">
      <c r="G41">
        <v>0.86</v>
      </c>
      <c r="H41">
        <f t="shared" si="0"/>
        <v>0.26337555999999995</v>
      </c>
      <c r="AW41" s="244" t="s">
        <v>354</v>
      </c>
      <c r="AX41" s="240">
        <f>(1/'A5'!C4+1/AX39+1/AX40)^(-1)</f>
        <v>1.2101910828025477</v>
      </c>
      <c r="AY41" s="965" t="s">
        <v>355</v>
      </c>
      <c r="AZ41" s="965"/>
      <c r="BA41" s="965"/>
      <c r="BB41" s="965"/>
      <c r="BC41" s="969"/>
      <c r="BD41" s="970"/>
      <c r="BE41" s="970"/>
      <c r="BF41" s="971"/>
    </row>
    <row r="42" spans="1:58" ht="43.2" customHeight="1" thickBot="1" x14ac:dyDescent="0.3">
      <c r="G42">
        <v>0.87</v>
      </c>
      <c r="H42">
        <f t="shared" si="0"/>
        <v>0.26199358999999989</v>
      </c>
      <c r="AW42" s="250" t="s">
        <v>361</v>
      </c>
      <c r="AX42" s="251">
        <f>(AX29*'A5'!C5)+(AX31*(AX41/AX40))+(AX29*(1-'A5'!C5)*AX41/AX39)</f>
        <v>0.17417834394904458</v>
      </c>
      <c r="AY42" s="975" t="s">
        <v>362</v>
      </c>
      <c r="AZ42" s="975"/>
      <c r="BA42" s="975"/>
      <c r="BB42" s="975"/>
      <c r="BC42" s="972"/>
      <c r="BD42" s="973"/>
      <c r="BE42" s="973"/>
      <c r="BF42" s="974"/>
    </row>
    <row r="43" spans="1:58" x14ac:dyDescent="0.25">
      <c r="G43">
        <v>0.88</v>
      </c>
      <c r="H43">
        <f t="shared" si="0"/>
        <v>0.26068383999999989</v>
      </c>
    </row>
    <row r="44" spans="1:58" x14ac:dyDescent="0.25">
      <c r="G44">
        <v>0.89</v>
      </c>
      <c r="H44">
        <f t="shared" si="0"/>
        <v>0.2594463099999999</v>
      </c>
    </row>
    <row r="45" spans="1:58" x14ac:dyDescent="0.25">
      <c r="G45">
        <v>0.9</v>
      </c>
      <c r="H45">
        <f t="shared" si="0"/>
        <v>0.25828099999999993</v>
      </c>
    </row>
    <row r="46" spans="1:58" x14ac:dyDescent="0.25">
      <c r="G46">
        <v>0.91</v>
      </c>
      <c r="H46">
        <f t="shared" si="0"/>
        <v>0.25718790999999991</v>
      </c>
    </row>
    <row r="47" spans="1:58" x14ac:dyDescent="0.25">
      <c r="G47">
        <v>0.92</v>
      </c>
      <c r="H47">
        <f t="shared" si="0"/>
        <v>0.2561670399999999</v>
      </c>
    </row>
    <row r="48" spans="1:58" x14ac:dyDescent="0.25">
      <c r="G48">
        <v>0.93</v>
      </c>
      <c r="H48">
        <f t="shared" si="0"/>
        <v>0.25521838999999996</v>
      </c>
    </row>
    <row r="49" spans="7:8" x14ac:dyDescent="0.25">
      <c r="G49">
        <v>0.94</v>
      </c>
      <c r="H49">
        <f t="shared" si="0"/>
        <v>0.25434196000000003</v>
      </c>
    </row>
    <row r="50" spans="7:8" x14ac:dyDescent="0.25">
      <c r="G50">
        <v>0.95</v>
      </c>
      <c r="H50">
        <f t="shared" si="0"/>
        <v>0.2535377499999999</v>
      </c>
    </row>
    <row r="51" spans="7:8" x14ac:dyDescent="0.25">
      <c r="G51">
        <v>0.96</v>
      </c>
      <c r="H51">
        <f t="shared" si="0"/>
        <v>0.25280575999999993</v>
      </c>
    </row>
    <row r="52" spans="7:8" x14ac:dyDescent="0.25">
      <c r="G52">
        <v>0.97</v>
      </c>
      <c r="H52">
        <f t="shared" si="0"/>
        <v>0.25214598999999993</v>
      </c>
    </row>
    <row r="53" spans="7:8" x14ac:dyDescent="0.25">
      <c r="G53">
        <v>0.98</v>
      </c>
      <c r="H53">
        <f t="shared" si="0"/>
        <v>0.25155843999999988</v>
      </c>
    </row>
    <row r="54" spans="7:8" x14ac:dyDescent="0.25">
      <c r="G54">
        <v>0.99</v>
      </c>
      <c r="H54">
        <f t="shared" si="0"/>
        <v>0.2510431099999999</v>
      </c>
    </row>
    <row r="55" spans="7:8" x14ac:dyDescent="0.25">
      <c r="G55">
        <v>1</v>
      </c>
      <c r="H55">
        <f t="shared" si="0"/>
        <v>0.25059999999999993</v>
      </c>
    </row>
  </sheetData>
  <mergeCells count="71">
    <mergeCell ref="BF1:BF8"/>
    <mergeCell ref="AJ4:AK4"/>
    <mergeCell ref="AL4:AL6"/>
    <mergeCell ref="AB5:AF5"/>
    <mergeCell ref="AI5:AJ5"/>
    <mergeCell ref="AB1:AG1"/>
    <mergeCell ref="AH1:AK2"/>
    <mergeCell ref="AL1:AN1"/>
    <mergeCell ref="AV1:AV22"/>
    <mergeCell ref="AW1:AX1"/>
    <mergeCell ref="AB2:AC2"/>
    <mergeCell ref="AD2:AG2"/>
    <mergeCell ref="AW2:AW6"/>
    <mergeCell ref="AB4:AE4"/>
    <mergeCell ref="AG4:AH5"/>
    <mergeCell ref="AL7:AL9"/>
    <mergeCell ref="BG1:BG2"/>
    <mergeCell ref="BH1:BJ1"/>
    <mergeCell ref="BL1:BL8"/>
    <mergeCell ref="BM1:BM2"/>
    <mergeCell ref="BN1:BT1"/>
    <mergeCell ref="AW7:AW10"/>
    <mergeCell ref="AB8:AD8"/>
    <mergeCell ref="AG8:AH10"/>
    <mergeCell ref="AI8:AJ8"/>
    <mergeCell ref="AB9:AF10"/>
    <mergeCell ref="AI9:AK10"/>
    <mergeCell ref="AL10:AL12"/>
    <mergeCell ref="AC11:AG11"/>
    <mergeCell ref="AH11:AJ11"/>
    <mergeCell ref="AK5:AK8"/>
    <mergeCell ref="AC6:AF6"/>
    <mergeCell ref="AG6:AJ6"/>
    <mergeCell ref="AC7:AD7"/>
    <mergeCell ref="AE7:AF8"/>
    <mergeCell ref="AG7:AJ7"/>
    <mergeCell ref="AW11:AW14"/>
    <mergeCell ref="AB12:AG15"/>
    <mergeCell ref="AH12:AK15"/>
    <mergeCell ref="AL13:AL15"/>
    <mergeCell ref="AW15:AW18"/>
    <mergeCell ref="AB16:AF17"/>
    <mergeCell ref="AG16:AH17"/>
    <mergeCell ref="AI16:AK17"/>
    <mergeCell ref="AL16:AL18"/>
    <mergeCell ref="AB18:AF18"/>
    <mergeCell ref="AG18:AH18"/>
    <mergeCell ref="AI18:AK18"/>
    <mergeCell ref="AB19:AK21"/>
    <mergeCell ref="AW19:AW22"/>
    <mergeCell ref="P27:T27"/>
    <mergeCell ref="BC29:BF31"/>
    <mergeCell ref="AY30:BB30"/>
    <mergeCell ref="AY31:BB31"/>
    <mergeCell ref="AY32:BB32"/>
    <mergeCell ref="AW33:AX33"/>
    <mergeCell ref="AY33:BB33"/>
    <mergeCell ref="BC33:BF33"/>
    <mergeCell ref="AY29:BB29"/>
    <mergeCell ref="AY34:BB34"/>
    <mergeCell ref="BC34:BF36"/>
    <mergeCell ref="AY35:BB35"/>
    <mergeCell ref="AY36:BB36"/>
    <mergeCell ref="AW38:AX38"/>
    <mergeCell ref="AY38:BB38"/>
    <mergeCell ref="BC38:BF38"/>
    <mergeCell ref="AY39:BB39"/>
    <mergeCell ref="BC39:BF42"/>
    <mergeCell ref="AY40:BB40"/>
    <mergeCell ref="AY41:BB41"/>
    <mergeCell ref="AY42:BB42"/>
  </mergeCells>
  <hyperlinks>
    <hyperlink ref="X1" location="Voladizo!A1" display="Voladizo!A1" xr:uid="{FA4FE537-FD03-4419-B963-FDC2A4144921}"/>
    <hyperlink ref="X2" location="Retranqueo!A1" display="Retranqueo!A1" xr:uid="{8C773E70-7CA4-4183-B560-CAB5AA243A30}"/>
    <hyperlink ref="X3" location="'Lama horizontal'!A1" display="Lama horizontal'!A1" xr:uid="{78388EE0-00C8-44AE-9C32-378AA76B0A3D}"/>
    <hyperlink ref="X4" location="'Lama vertical'!A1" display="'Lama vertical'!A1" xr:uid="{22397CFB-A301-4EC9-87C1-342BD000B02B}"/>
  </hyperlink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Q35"/>
  <sheetViews>
    <sheetView showGridLines="0" zoomScale="85" zoomScaleNormal="85" zoomScalePageLayoutView="80" workbookViewId="0">
      <selection activeCell="G6" sqref="G6"/>
    </sheetView>
  </sheetViews>
  <sheetFormatPr defaultColWidth="11.5546875" defaultRowHeight="13.2" x14ac:dyDescent="0.25"/>
  <cols>
    <col min="1" max="1" width="5.33203125" customWidth="1"/>
    <col min="2" max="2" width="23.44140625" customWidth="1"/>
    <col min="3" max="7" width="13.6640625" customWidth="1"/>
    <col min="8" max="8" width="3.5546875" customWidth="1"/>
    <col min="9" max="9" width="12.6640625" customWidth="1"/>
    <col min="10" max="10" width="32" customWidth="1"/>
  </cols>
  <sheetData>
    <row r="1" spans="1:17" s="128" customFormat="1" ht="26.7" customHeight="1" x14ac:dyDescent="0.25">
      <c r="A1" s="126" t="s">
        <v>363</v>
      </c>
      <c r="B1" s="127" t="s">
        <v>364</v>
      </c>
      <c r="C1" s="127" t="s">
        <v>365</v>
      </c>
      <c r="D1" s="127"/>
      <c r="F1" s="127"/>
      <c r="G1" s="127" t="s">
        <v>366</v>
      </c>
    </row>
    <row r="2" spans="1:17" s="118" customFormat="1" ht="13.8" x14ac:dyDescent="0.25">
      <c r="A2" s="116"/>
      <c r="B2" s="117"/>
      <c r="C2" s="117"/>
      <c r="D2" s="117"/>
      <c r="E2" s="117"/>
    </row>
    <row r="3" spans="1:17" s="29" customFormat="1" x14ac:dyDescent="0.25">
      <c r="B3" s="29" t="s">
        <v>367</v>
      </c>
    </row>
    <row r="4" spans="1:17" ht="13.8" thickBot="1" x14ac:dyDescent="0.3"/>
    <row r="5" spans="1:17" ht="45.6" customHeight="1" thickBot="1" x14ac:dyDescent="0.3">
      <c r="B5" s="51" t="s">
        <v>368</v>
      </c>
      <c r="C5" s="62" t="s">
        <v>369</v>
      </c>
      <c r="D5" s="62" t="s">
        <v>370</v>
      </c>
      <c r="E5" s="62" t="s">
        <v>371</v>
      </c>
      <c r="F5" s="62" t="s">
        <v>372</v>
      </c>
      <c r="G5" s="70" t="s">
        <v>373</v>
      </c>
      <c r="H5" s="14"/>
      <c r="I5" s="1071" t="s">
        <v>374</v>
      </c>
      <c r="J5" s="1071"/>
      <c r="L5" s="780" t="s">
        <v>375</v>
      </c>
      <c r="M5" s="780"/>
      <c r="N5" s="780"/>
      <c r="O5" s="780"/>
      <c r="P5" s="780"/>
      <c r="Q5" s="780"/>
    </row>
    <row r="6" spans="1:17" x14ac:dyDescent="0.25">
      <c r="B6" s="90" t="s">
        <v>123</v>
      </c>
      <c r="C6" s="84"/>
      <c r="D6" s="84"/>
      <c r="E6" s="84"/>
      <c r="F6" s="79"/>
      <c r="G6" s="592">
        <f>C6*0.04</f>
        <v>0</v>
      </c>
      <c r="I6" s="1071"/>
      <c r="J6" s="1071"/>
      <c r="L6" s="780"/>
      <c r="M6" s="780"/>
      <c r="N6" s="780"/>
      <c r="O6" s="780"/>
      <c r="P6" s="780"/>
      <c r="Q6" s="780"/>
    </row>
    <row r="7" spans="1:17" x14ac:dyDescent="0.25">
      <c r="B7" s="90" t="s">
        <v>124</v>
      </c>
      <c r="C7" s="84"/>
      <c r="D7" s="84"/>
      <c r="E7" s="84"/>
      <c r="F7" s="79"/>
      <c r="G7" s="592">
        <f t="shared" ref="G7:G18" si="0">C7*0.04</f>
        <v>0</v>
      </c>
      <c r="I7" s="1071"/>
      <c r="J7" s="1071"/>
      <c r="L7" s="780"/>
      <c r="M7" s="780"/>
      <c r="N7" s="780"/>
      <c r="O7" s="780"/>
      <c r="P7" s="780"/>
      <c r="Q7" s="780"/>
    </row>
    <row r="8" spans="1:17" x14ac:dyDescent="0.25">
      <c r="B8" s="90" t="s">
        <v>117</v>
      </c>
      <c r="C8" s="83"/>
      <c r="D8" s="83"/>
      <c r="E8" s="84"/>
      <c r="F8" s="79"/>
      <c r="G8" s="592">
        <f t="shared" si="0"/>
        <v>0</v>
      </c>
      <c r="I8" s="1071"/>
      <c r="J8" s="1071"/>
      <c r="L8" s="780"/>
      <c r="M8" s="780"/>
      <c r="N8" s="780"/>
      <c r="O8" s="780"/>
      <c r="P8" s="780"/>
      <c r="Q8" s="780"/>
    </row>
    <row r="9" spans="1:17" x14ac:dyDescent="0.25">
      <c r="B9" s="90" t="s">
        <v>118</v>
      </c>
      <c r="C9" s="84"/>
      <c r="D9" s="84"/>
      <c r="E9" s="84"/>
      <c r="F9" s="79"/>
      <c r="G9" s="592">
        <f t="shared" si="0"/>
        <v>0</v>
      </c>
      <c r="L9" s="780"/>
      <c r="M9" s="780"/>
      <c r="N9" s="780"/>
      <c r="O9" s="780"/>
      <c r="P9" s="780"/>
      <c r="Q9" s="780"/>
    </row>
    <row r="10" spans="1:17" x14ac:dyDescent="0.25">
      <c r="B10" s="90" t="s">
        <v>121</v>
      </c>
      <c r="C10" s="84"/>
      <c r="D10" s="84"/>
      <c r="E10" s="84"/>
      <c r="F10" s="79"/>
      <c r="G10" s="592">
        <f t="shared" si="0"/>
        <v>0</v>
      </c>
      <c r="I10" s="1072" t="s">
        <v>376</v>
      </c>
      <c r="J10" s="1072"/>
      <c r="L10" s="780"/>
      <c r="M10" s="780"/>
      <c r="N10" s="780"/>
      <c r="O10" s="780"/>
      <c r="P10" s="780"/>
      <c r="Q10" s="780"/>
    </row>
    <row r="11" spans="1:17" x14ac:dyDescent="0.25">
      <c r="B11" s="81"/>
      <c r="C11" s="84"/>
      <c r="D11" s="84"/>
      <c r="E11" s="84"/>
      <c r="F11" s="79"/>
      <c r="G11" s="592">
        <f t="shared" si="0"/>
        <v>0</v>
      </c>
      <c r="I11" s="1072"/>
      <c r="J11" s="1072"/>
      <c r="L11" s="780"/>
      <c r="M11" s="780"/>
      <c r="N11" s="780"/>
      <c r="O11" s="780"/>
      <c r="P11" s="780"/>
      <c r="Q11" s="780"/>
    </row>
    <row r="12" spans="1:17" x14ac:dyDescent="0.25">
      <c r="B12" s="81"/>
      <c r="C12" s="84"/>
      <c r="D12" s="84"/>
      <c r="E12" s="84"/>
      <c r="F12" s="79"/>
      <c r="G12" s="592">
        <f t="shared" si="0"/>
        <v>0</v>
      </c>
      <c r="I12" s="1072"/>
      <c r="J12" s="1072"/>
      <c r="L12" s="780"/>
      <c r="M12" s="780"/>
      <c r="N12" s="780"/>
      <c r="O12" s="780"/>
      <c r="P12" s="780"/>
      <c r="Q12" s="780"/>
    </row>
    <row r="13" spans="1:17" x14ac:dyDescent="0.25">
      <c r="B13" s="81"/>
      <c r="C13" s="84"/>
      <c r="D13" s="84"/>
      <c r="E13" s="84"/>
      <c r="F13" s="79"/>
      <c r="G13" s="592">
        <f t="shared" si="0"/>
        <v>0</v>
      </c>
      <c r="L13" s="780"/>
      <c r="M13" s="780"/>
      <c r="N13" s="780"/>
      <c r="O13" s="780"/>
      <c r="P13" s="780"/>
      <c r="Q13" s="780"/>
    </row>
    <row r="14" spans="1:17" ht="12.45" customHeight="1" x14ac:dyDescent="0.25">
      <c r="B14" s="81"/>
      <c r="C14" s="84"/>
      <c r="D14" s="84"/>
      <c r="E14" s="84"/>
      <c r="F14" s="79"/>
      <c r="G14" s="592">
        <f t="shared" si="0"/>
        <v>0</v>
      </c>
      <c r="L14" s="780"/>
      <c r="M14" s="780"/>
      <c r="N14" s="780"/>
      <c r="O14" s="780"/>
      <c r="P14" s="780"/>
      <c r="Q14" s="780"/>
    </row>
    <row r="15" spans="1:17" ht="12.45" customHeight="1" x14ac:dyDescent="0.25">
      <c r="B15" s="81"/>
      <c r="C15" s="84"/>
      <c r="D15" s="84"/>
      <c r="E15" s="84"/>
      <c r="F15" s="79"/>
      <c r="G15" s="592">
        <f t="shared" si="0"/>
        <v>0</v>
      </c>
      <c r="L15" s="780"/>
      <c r="M15" s="780"/>
      <c r="N15" s="780"/>
      <c r="O15" s="780"/>
      <c r="P15" s="780"/>
      <c r="Q15" s="780"/>
    </row>
    <row r="16" spans="1:17" ht="12.45" customHeight="1" x14ac:dyDescent="0.25">
      <c r="B16" s="81"/>
      <c r="C16" s="84"/>
      <c r="D16" s="84"/>
      <c r="E16" s="84"/>
      <c r="F16" s="79"/>
      <c r="G16" s="592">
        <f t="shared" si="0"/>
        <v>0</v>
      </c>
      <c r="L16" s="780"/>
      <c r="M16" s="780"/>
      <c r="N16" s="780"/>
      <c r="O16" s="780"/>
      <c r="P16" s="780"/>
      <c r="Q16" s="780"/>
    </row>
    <row r="17" spans="2:17" ht="12.45" customHeight="1" x14ac:dyDescent="0.25">
      <c r="B17" s="81"/>
      <c r="C17" s="84"/>
      <c r="D17" s="84"/>
      <c r="E17" s="84"/>
      <c r="F17" s="79"/>
      <c r="G17" s="592">
        <f t="shared" si="0"/>
        <v>0</v>
      </c>
      <c r="L17" s="780"/>
      <c r="M17" s="780"/>
      <c r="N17" s="780"/>
      <c r="O17" s="780"/>
      <c r="P17" s="780"/>
      <c r="Q17" s="780"/>
    </row>
    <row r="18" spans="2:17" ht="13.2" customHeight="1" thickBot="1" x14ac:dyDescent="0.3">
      <c r="B18" s="82"/>
      <c r="C18" s="85"/>
      <c r="D18" s="85"/>
      <c r="E18" s="85"/>
      <c r="F18" s="80"/>
      <c r="G18" s="592">
        <f t="shared" si="0"/>
        <v>0</v>
      </c>
      <c r="L18" s="780"/>
      <c r="M18" s="780"/>
      <c r="N18" s="780"/>
      <c r="O18" s="780"/>
      <c r="P18" s="780"/>
      <c r="Q18" s="780"/>
    </row>
    <row r="20" spans="2:17" s="29" customFormat="1" x14ac:dyDescent="0.25">
      <c r="B20" s="29" t="s">
        <v>377</v>
      </c>
    </row>
    <row r="21" spans="2:17" ht="13.8" thickBot="1" x14ac:dyDescent="0.3"/>
    <row r="22" spans="2:17" ht="40.200000000000003" thickBot="1" x14ac:dyDescent="0.3">
      <c r="B22" s="51" t="s">
        <v>368</v>
      </c>
      <c r="C22" s="62" t="s">
        <v>369</v>
      </c>
      <c r="D22" s="62" t="s">
        <v>370</v>
      </c>
      <c r="E22" s="62" t="s">
        <v>371</v>
      </c>
      <c r="F22" s="62" t="s">
        <v>372</v>
      </c>
      <c r="G22" s="70" t="s">
        <v>373</v>
      </c>
      <c r="H22" s="14"/>
      <c r="I22" s="274" t="s">
        <v>378</v>
      </c>
      <c r="J22" s="588" t="s">
        <v>379</v>
      </c>
    </row>
    <row r="23" spans="2:17" x14ac:dyDescent="0.25">
      <c r="B23" s="90" t="s">
        <v>380</v>
      </c>
      <c r="C23" s="84"/>
      <c r="D23" s="84"/>
      <c r="E23" s="84"/>
      <c r="F23" s="79"/>
      <c r="G23" s="592">
        <f>C23*$J$23</f>
        <v>0</v>
      </c>
      <c r="I23" s="1066" t="s">
        <v>381</v>
      </c>
      <c r="J23" s="1068">
        <v>0.05</v>
      </c>
    </row>
    <row r="24" spans="2:17" x14ac:dyDescent="0.25">
      <c r="B24" s="90" t="s">
        <v>124</v>
      </c>
      <c r="C24" s="84"/>
      <c r="D24" s="84"/>
      <c r="E24" s="84"/>
      <c r="F24" s="79"/>
      <c r="G24" s="592">
        <f t="shared" ref="G24:G35" si="1">C24*$J$23</f>
        <v>0</v>
      </c>
      <c r="I24" s="1066"/>
      <c r="J24" s="1069"/>
    </row>
    <row r="25" spans="2:17" ht="13.8" thickBot="1" x14ac:dyDescent="0.3">
      <c r="B25" s="90" t="s">
        <v>117</v>
      </c>
      <c r="C25" s="83"/>
      <c r="D25" s="83"/>
      <c r="E25" s="84"/>
      <c r="F25" s="79"/>
      <c r="G25" s="592">
        <f t="shared" si="1"/>
        <v>0</v>
      </c>
      <c r="I25" s="1067"/>
      <c r="J25" s="1070"/>
    </row>
    <row r="26" spans="2:17" x14ac:dyDescent="0.25">
      <c r="B26" s="90" t="s">
        <v>118</v>
      </c>
      <c r="C26" s="84"/>
      <c r="D26" s="84"/>
      <c r="E26" s="84"/>
      <c r="F26" s="79"/>
      <c r="G26" s="592">
        <f t="shared" si="1"/>
        <v>0</v>
      </c>
    </row>
    <row r="27" spans="2:17" ht="12.45" customHeight="1" x14ac:dyDescent="0.25">
      <c r="B27" s="90" t="s">
        <v>382</v>
      </c>
      <c r="C27" s="84"/>
      <c r="D27" s="84"/>
      <c r="E27" s="84"/>
      <c r="F27" s="79"/>
      <c r="G27" s="592">
        <f t="shared" si="1"/>
        <v>0</v>
      </c>
      <c r="I27" s="1071" t="s">
        <v>383</v>
      </c>
      <c r="J27" s="1071"/>
    </row>
    <row r="28" spans="2:17" x14ac:dyDescent="0.25">
      <c r="B28" s="81"/>
      <c r="C28" s="84"/>
      <c r="D28" s="84"/>
      <c r="E28" s="84"/>
      <c r="F28" s="79"/>
      <c r="G28" s="592">
        <f t="shared" si="1"/>
        <v>0</v>
      </c>
      <c r="I28" s="1071"/>
      <c r="J28" s="1071"/>
    </row>
    <row r="29" spans="2:17" x14ac:dyDescent="0.25">
      <c r="B29" s="81"/>
      <c r="C29" s="84"/>
      <c r="D29" s="84"/>
      <c r="E29" s="84"/>
      <c r="F29" s="79"/>
      <c r="G29" s="592">
        <f>C29*$J$23</f>
        <v>0</v>
      </c>
      <c r="I29" s="1071"/>
      <c r="J29" s="1071"/>
    </row>
    <row r="30" spans="2:17" x14ac:dyDescent="0.25">
      <c r="B30" s="81"/>
      <c r="C30" s="84"/>
      <c r="D30" s="84"/>
      <c r="E30" s="84"/>
      <c r="F30" s="79"/>
      <c r="G30" s="592">
        <f t="shared" si="1"/>
        <v>0</v>
      </c>
      <c r="I30" s="1071"/>
      <c r="J30" s="1071"/>
    </row>
    <row r="31" spans="2:17" x14ac:dyDescent="0.25">
      <c r="B31" s="81"/>
      <c r="C31" s="84"/>
      <c r="D31" s="84"/>
      <c r="E31" s="84"/>
      <c r="F31" s="79"/>
      <c r="G31" s="592">
        <f t="shared" si="1"/>
        <v>0</v>
      </c>
      <c r="I31" s="1071"/>
      <c r="J31" s="1071"/>
    </row>
    <row r="32" spans="2:17" x14ac:dyDescent="0.25">
      <c r="B32" s="81"/>
      <c r="C32" s="84"/>
      <c r="D32" s="84"/>
      <c r="E32" s="84"/>
      <c r="F32" s="79"/>
      <c r="G32" s="592">
        <f t="shared" si="1"/>
        <v>0</v>
      </c>
      <c r="I32" s="1071"/>
      <c r="J32" s="1071"/>
    </row>
    <row r="33" spans="2:7" x14ac:dyDescent="0.25">
      <c r="B33" s="81"/>
      <c r="C33" s="84"/>
      <c r="D33" s="84"/>
      <c r="E33" s="84"/>
      <c r="F33" s="79"/>
      <c r="G33" s="592">
        <f t="shared" si="1"/>
        <v>0</v>
      </c>
    </row>
    <row r="34" spans="2:7" x14ac:dyDescent="0.25">
      <c r="B34" s="81"/>
      <c r="C34" s="84"/>
      <c r="D34" s="84"/>
      <c r="E34" s="84"/>
      <c r="F34" s="79"/>
      <c r="G34" s="592">
        <f t="shared" si="1"/>
        <v>0</v>
      </c>
    </row>
    <row r="35" spans="2:7" ht="13.8" thickBot="1" x14ac:dyDescent="0.3">
      <c r="B35" s="82"/>
      <c r="C35" s="85"/>
      <c r="D35" s="85"/>
      <c r="E35" s="85"/>
      <c r="F35" s="80"/>
      <c r="G35" s="593">
        <f t="shared" si="1"/>
        <v>0</v>
      </c>
    </row>
  </sheetData>
  <sheetProtection algorithmName="SHA-512" hashValue="tCXJsDoQ0IV29HCIbYgxhZJG6DgaYxUZPjLGxtL1CZemv4X8AFg6A234wGon+yMb7avS6e3kv4gE/0WVwjQU6w==" saltValue="OCsENmbnAyiNkpHbLIVu1w==" spinCount="100000" sheet="1" objects="1" scenarios="1"/>
  <mergeCells count="6">
    <mergeCell ref="L5:Q18"/>
    <mergeCell ref="I23:I25"/>
    <mergeCell ref="J23:J25"/>
    <mergeCell ref="I5:J8"/>
    <mergeCell ref="I27:J32"/>
    <mergeCell ref="I10:J12"/>
  </mergeCells>
  <conditionalFormatting sqref="E6:E9">
    <cfRule type="cellIs" dxfId="195" priority="4" operator="lessThan">
      <formula>G6</formula>
    </cfRule>
    <cfRule type="cellIs" dxfId="194" priority="5" operator="equal">
      <formula>G6</formula>
    </cfRule>
    <cfRule type="cellIs" dxfId="193" priority="6" operator="greaterThan">
      <formula>G6</formula>
    </cfRule>
  </conditionalFormatting>
  <conditionalFormatting sqref="E6:E18 E23:E35">
    <cfRule type="containsBlanks" dxfId="192" priority="10">
      <formula>LEN(TRIM(E6))=0</formula>
    </cfRule>
  </conditionalFormatting>
  <conditionalFormatting sqref="E10:E18">
    <cfRule type="cellIs" dxfId="191" priority="14" operator="lessThan">
      <formula>G10</formula>
    </cfRule>
    <cfRule type="cellIs" dxfId="190" priority="15" operator="equal">
      <formula>G10</formula>
    </cfRule>
    <cfRule type="cellIs" dxfId="189" priority="16" operator="greaterThan">
      <formula>G10</formula>
    </cfRule>
  </conditionalFormatting>
  <conditionalFormatting sqref="E23">
    <cfRule type="cellIs" dxfId="188" priority="1" operator="lessThan">
      <formula>$G$23</formula>
    </cfRule>
    <cfRule type="cellIs" dxfId="187" priority="2" operator="equal">
      <formula>$G$23</formula>
    </cfRule>
    <cfRule type="cellIs" dxfId="186" priority="3" operator="greaterThan">
      <formula>$G$23</formula>
    </cfRule>
  </conditionalFormatting>
  <conditionalFormatting sqref="E23:E35">
    <cfRule type="cellIs" dxfId="185" priority="11" operator="lessThan">
      <formula>G23</formula>
    </cfRule>
    <cfRule type="cellIs" dxfId="184" priority="12" operator="equal">
      <formula>G23</formula>
    </cfRule>
    <cfRule type="cellIs" dxfId="183" priority="13" operator="greaterThan">
      <formula>G23</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Datos_A7!$AC$4:$AC$7</xm:f>
          </x14:formula1>
          <xm:sqref>F6:F18 F23:F35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R126"/>
  <sheetViews>
    <sheetView showGridLines="0" topLeftCell="A51" zoomScale="70" zoomScaleNormal="70" zoomScalePageLayoutView="40" workbookViewId="0">
      <selection activeCell="H10" sqref="H10"/>
    </sheetView>
  </sheetViews>
  <sheetFormatPr defaultColWidth="9.33203125" defaultRowHeight="13.2" x14ac:dyDescent="0.25"/>
  <cols>
    <col min="1" max="1" width="5.33203125" style="170" customWidth="1"/>
    <col min="2" max="2" width="13.44140625" style="170" customWidth="1"/>
    <col min="3" max="3" width="28.6640625" style="354" customWidth="1"/>
    <col min="4" max="4" width="25.33203125" style="354" customWidth="1"/>
    <col min="5" max="5" width="24.33203125" style="170" bestFit="1" customWidth="1"/>
    <col min="6" max="6" width="32.33203125" style="170" customWidth="1"/>
    <col min="7" max="7" width="19.6640625" style="170" customWidth="1"/>
    <col min="8" max="8" width="19" style="347" customWidth="1"/>
    <col min="9" max="9" width="25.6640625" style="347" customWidth="1"/>
    <col min="10" max="10" width="21.33203125" style="170" customWidth="1"/>
    <col min="11" max="11" width="24" style="170" customWidth="1"/>
    <col min="12" max="12" width="19.109375" style="170" customWidth="1"/>
    <col min="13" max="13" width="13.33203125" style="170" bestFit="1" customWidth="1"/>
    <col min="14" max="14" width="15.33203125" style="170" customWidth="1"/>
    <col min="15" max="15" width="15.44140625" style="170" customWidth="1"/>
    <col min="16" max="16" width="11.109375" style="170" customWidth="1"/>
    <col min="17" max="16384" width="9.33203125" style="170"/>
  </cols>
  <sheetData>
    <row r="1" spans="1:18" s="344" customFormat="1" ht="26.7" customHeight="1" x14ac:dyDescent="0.25">
      <c r="A1" s="345" t="s">
        <v>384</v>
      </c>
      <c r="B1" s="346" t="s">
        <v>385</v>
      </c>
      <c r="C1" s="346"/>
      <c r="D1" s="346"/>
      <c r="E1" s="346"/>
      <c r="F1" s="346"/>
      <c r="G1" s="346"/>
      <c r="H1" s="345"/>
      <c r="I1" s="345"/>
      <c r="J1" s="346"/>
    </row>
    <row r="4" spans="1:18" ht="21.6" customHeight="1" x14ac:dyDescent="0.25">
      <c r="C4" s="397" t="s">
        <v>386</v>
      </c>
      <c r="D4" s="374"/>
      <c r="E4" s="375"/>
    </row>
    <row r="5" spans="1:18" ht="25.5" customHeight="1" x14ac:dyDescent="0.25">
      <c r="C5" s="397" t="s">
        <v>387</v>
      </c>
      <c r="D5" s="603">
        <v>60</v>
      </c>
      <c r="E5" s="376"/>
      <c r="J5" s="347"/>
      <c r="K5" s="347"/>
    </row>
    <row r="6" spans="1:18" ht="25.5" customHeight="1" x14ac:dyDescent="0.25">
      <c r="C6" s="757"/>
      <c r="D6" s="758"/>
      <c r="E6" s="269"/>
      <c r="J6" s="347"/>
      <c r="K6" s="347"/>
    </row>
    <row r="7" spans="1:18" s="759" customFormat="1" ht="25.5" customHeight="1" x14ac:dyDescent="0.25">
      <c r="B7" s="761" t="s">
        <v>388</v>
      </c>
      <c r="C7" s="754"/>
      <c r="D7" s="755"/>
      <c r="E7" s="756"/>
      <c r="H7" s="760"/>
      <c r="I7" s="760"/>
      <c r="J7" s="760"/>
      <c r="K7" s="760"/>
    </row>
    <row r="8" spans="1:18" ht="13.8" thickBot="1" x14ac:dyDescent="0.3">
      <c r="D8" s="1076"/>
      <c r="E8" s="1076"/>
      <c r="F8" s="1076"/>
      <c r="G8" s="347"/>
      <c r="J8" s="347"/>
      <c r="K8" s="347"/>
    </row>
    <row r="9" spans="1:18" ht="37.950000000000003" customHeight="1" thickBot="1" x14ac:dyDescent="0.3">
      <c r="B9" s="1090" t="s">
        <v>389</v>
      </c>
      <c r="C9" s="398" t="s">
        <v>390</v>
      </c>
      <c r="D9" s="399" t="s">
        <v>391</v>
      </c>
      <c r="E9" s="400" t="s">
        <v>392</v>
      </c>
      <c r="K9" s="347"/>
      <c r="N9" s="1075" t="s">
        <v>108</v>
      </c>
      <c r="O9" s="1075"/>
      <c r="P9" s="1075"/>
      <c r="Q9" s="1075"/>
      <c r="R9" s="1075"/>
    </row>
    <row r="10" spans="1:18" ht="66.599999999999994" customHeight="1" thickBot="1" x14ac:dyDescent="0.3">
      <c r="B10" s="1091"/>
      <c r="C10" s="401" t="s">
        <v>393</v>
      </c>
      <c r="D10" s="377"/>
      <c r="E10" s="378"/>
      <c r="H10" s="353"/>
      <c r="J10" s="347"/>
      <c r="K10" s="347"/>
      <c r="N10" s="1092" t="s">
        <v>394</v>
      </c>
      <c r="O10" s="1092"/>
      <c r="P10" s="1092"/>
      <c r="Q10" s="1092"/>
      <c r="R10" s="1092"/>
    </row>
    <row r="11" spans="1:18" ht="13.8" thickBot="1" x14ac:dyDescent="0.3">
      <c r="D11" s="353"/>
      <c r="E11" s="347"/>
      <c r="F11" s="347"/>
      <c r="G11" s="347"/>
      <c r="K11" s="347"/>
    </row>
    <row r="12" spans="1:18" ht="13.5" customHeight="1" thickBot="1" x14ac:dyDescent="0.3">
      <c r="B12" s="1090" t="s">
        <v>395</v>
      </c>
      <c r="C12" s="402" t="s">
        <v>396</v>
      </c>
      <c r="D12" s="379" t="s">
        <v>397</v>
      </c>
      <c r="F12" s="347"/>
      <c r="G12" s="347"/>
      <c r="J12" s="347"/>
      <c r="K12" s="347"/>
      <c r="N12" s="1077" t="s">
        <v>398</v>
      </c>
      <c r="O12" s="1077"/>
      <c r="P12" s="1077"/>
      <c r="Q12" s="1077"/>
      <c r="R12" s="1077"/>
    </row>
    <row r="13" spans="1:18" ht="24" customHeight="1" thickBot="1" x14ac:dyDescent="0.3">
      <c r="B13" s="1093"/>
      <c r="D13" s="353"/>
      <c r="E13" s="347"/>
      <c r="F13" s="347"/>
      <c r="G13" s="347"/>
      <c r="I13" s="1105" t="s">
        <v>399</v>
      </c>
      <c r="J13" s="1106"/>
      <c r="K13" s="772" t="s">
        <v>400</v>
      </c>
      <c r="N13" s="1077"/>
      <c r="O13" s="1077"/>
      <c r="P13" s="1077"/>
      <c r="Q13" s="1077"/>
      <c r="R13" s="1077"/>
    </row>
    <row r="14" spans="1:18" ht="34.200000000000003" customHeight="1" thickBot="1" x14ac:dyDescent="0.3">
      <c r="B14" s="1093"/>
      <c r="C14" s="402" t="s">
        <v>401</v>
      </c>
      <c r="D14" s="403" t="s">
        <v>391</v>
      </c>
      <c r="E14" s="403" t="s">
        <v>396</v>
      </c>
      <c r="F14" s="403" t="s">
        <v>402</v>
      </c>
      <c r="G14" s="499" t="s">
        <v>403</v>
      </c>
      <c r="I14" s="1107"/>
      <c r="J14" s="1108"/>
      <c r="K14" s="774" t="s">
        <v>404</v>
      </c>
      <c r="N14" s="1077"/>
      <c r="O14" s="1077"/>
      <c r="P14" s="1077"/>
      <c r="Q14" s="1077"/>
      <c r="R14" s="1077"/>
    </row>
    <row r="15" spans="1:18" ht="17.399999999999999" customHeight="1" x14ac:dyDescent="0.25">
      <c r="B15" s="1093"/>
      <c r="C15" s="407" t="s">
        <v>405</v>
      </c>
      <c r="D15" s="86"/>
      <c r="E15" s="86"/>
      <c r="F15" s="404" t="str">
        <f>IFERROR(IF($D$12=Bilioteca.Minergie[[#Headers],[Tipo.Energético.Minergie]],VLOOKUP(E15,Factoresemisión[[#All],[Fuente de energía]:[Factor de emisión KgCO2/KWh]],2,0),VLOOKUP(E15,Energético.Personal[[#All],[Otro Energético]:[Factor de emisión]],2,0)),"Completar Elección y/o información ")</f>
        <v xml:space="preserve">Completar Elección y/o información </v>
      </c>
      <c r="G15" s="405">
        <f>IF(ISERROR(D15*F15),0,D15*F15)</f>
        <v>0</v>
      </c>
      <c r="I15" s="1107"/>
      <c r="J15" s="1108"/>
      <c r="K15" s="1111" t="s">
        <v>406</v>
      </c>
      <c r="N15" s="1077"/>
      <c r="O15" s="1077"/>
      <c r="P15" s="1077"/>
      <c r="Q15" s="1077"/>
      <c r="R15" s="1077"/>
    </row>
    <row r="16" spans="1:18" ht="20.399999999999999" customHeight="1" thickBot="1" x14ac:dyDescent="0.3">
      <c r="B16" s="1093"/>
      <c r="C16" s="408" t="s">
        <v>407</v>
      </c>
      <c r="D16" s="89"/>
      <c r="E16" s="86"/>
      <c r="F16" s="404" t="str">
        <f>IFERROR(IF($D$12=Bilioteca.Minergie[[#Headers],[Tipo.Energético.Minergie]],VLOOKUP(E16,Factoresemisión[[#All],[Fuente de energía]:[Factor de emisión KgCO2/KWh]],2,0),VLOOKUP(E16,Energético.Personal[[#All],[Otro Energético]:[Factor de emisión]],2,0)),"Completar Elección y/o información ")</f>
        <v xml:space="preserve">Completar Elección y/o información </v>
      </c>
      <c r="G16" s="405">
        <f>IF(ISERROR(D16*F16),0,D16*F16)</f>
        <v>0</v>
      </c>
      <c r="I16" s="1107"/>
      <c r="J16" s="1108"/>
      <c r="K16" s="1112"/>
      <c r="N16" s="1077"/>
      <c r="O16" s="1077"/>
      <c r="P16" s="1077"/>
      <c r="Q16" s="1077"/>
      <c r="R16" s="1077"/>
    </row>
    <row r="17" spans="2:18" ht="20.399999999999999" customHeight="1" x14ac:dyDescent="0.25">
      <c r="B17" s="1093"/>
      <c r="C17" s="408" t="s">
        <v>408</v>
      </c>
      <c r="D17" s="89"/>
      <c r="E17" s="86"/>
      <c r="F17" s="404" t="str">
        <f>IFERROR(IF($D$12=Bilioteca.Minergie[[#Headers],[Tipo.Energético.Minergie]],VLOOKUP(E17,Factoresemisión[[#All],[Fuente de energía]:[Factor de emisión KgCO2/KWh]],2,0),VLOOKUP(E17,Energético.Personal[[#All],[Otro Energético]:[Factor de emisión]],2,0)),"Completar Elección y/o información ")</f>
        <v xml:space="preserve">Completar Elección y/o información </v>
      </c>
      <c r="G17" s="405">
        <f>IF(ISERROR(D17*F17),0,D17*F17)</f>
        <v>0</v>
      </c>
      <c r="I17" s="1107"/>
      <c r="J17" s="1108"/>
      <c r="K17" s="773">
        <f>'T2'!D20</f>
        <v>0.8</v>
      </c>
      <c r="N17" s="1077"/>
      <c r="O17" s="1077"/>
      <c r="P17" s="1077"/>
      <c r="Q17" s="1077"/>
      <c r="R17" s="1077"/>
    </row>
    <row r="18" spans="2:18" ht="19.95" customHeight="1" x14ac:dyDescent="0.25">
      <c r="B18" s="1093"/>
      <c r="C18" s="408" t="s">
        <v>409</v>
      </c>
      <c r="D18" s="89"/>
      <c r="E18" s="86"/>
      <c r="F18" s="404" t="str">
        <f>IFERROR(IF($D$12=Bilioteca.Minergie[[#Headers],[Tipo.Energético.Minergie]],VLOOKUP(E18,Factoresemisión[[#All],[Fuente de energía]:[Factor de emisión KgCO2/KWh]],2,0),VLOOKUP(E18,Energético.Personal[[#All],[Otro Energético]:[Factor de emisión]],2,0)),"Completar Elección y/o información ")</f>
        <v xml:space="preserve">Completar Elección y/o información </v>
      </c>
      <c r="G18" s="405">
        <f>IF(ISERROR(D18*F18),0,D18*F18)</f>
        <v>0</v>
      </c>
      <c r="I18" s="1107"/>
      <c r="J18" s="1108"/>
      <c r="K18" s="595"/>
      <c r="N18" s="1077"/>
      <c r="O18" s="1077"/>
      <c r="P18" s="1077"/>
      <c r="Q18" s="1077"/>
      <c r="R18" s="1077"/>
    </row>
    <row r="19" spans="2:18" ht="24.6" customHeight="1" x14ac:dyDescent="0.25">
      <c r="B19" s="1093"/>
      <c r="C19" s="408" t="s">
        <v>410</v>
      </c>
      <c r="D19" s="89"/>
      <c r="E19" s="86"/>
      <c r="F19" s="404" t="str">
        <f>IFERROR(IF($D$12=Bilioteca.Minergie[[#Headers],[Tipo.Energético.Minergie]],VLOOKUP(E19,Factoresemisión[[#All],[Fuente de energía]:[Factor de emisión KgCO2/KWh]],2,0),VLOOKUP(E19,Energético.Personal[[#All],[Otro Energético]:[Factor de emisión]],2,0)),"Completar Elección y/o información ")</f>
        <v xml:space="preserve">Completar Elección y/o información </v>
      </c>
      <c r="G19" s="405">
        <f>IF(ISERROR(D19*F19),0,D19*F19)</f>
        <v>0</v>
      </c>
      <c r="I19" s="1107"/>
      <c r="J19" s="1108"/>
      <c r="K19" s="595"/>
      <c r="N19" s="1077"/>
      <c r="O19" s="1077"/>
      <c r="P19" s="1077"/>
      <c r="Q19" s="1077"/>
      <c r="R19" s="1077"/>
    </row>
    <row r="20" spans="2:18" ht="27.45" customHeight="1" thickBot="1" x14ac:dyDescent="0.3">
      <c r="B20" s="1091"/>
      <c r="C20" s="1078"/>
      <c r="D20" s="1078"/>
      <c r="E20" s="1078"/>
      <c r="F20" s="1078"/>
      <c r="G20" s="406">
        <f>SUM(G15:G19)</f>
        <v>0</v>
      </c>
      <c r="I20" s="1109"/>
      <c r="J20" s="1110"/>
      <c r="K20" s="595"/>
      <c r="N20" s="1079" t="s">
        <v>411</v>
      </c>
      <c r="O20" s="1079"/>
      <c r="P20" s="1079"/>
      <c r="Q20" s="1079"/>
      <c r="R20" s="1079"/>
    </row>
    <row r="21" spans="2:18" ht="27.45" customHeight="1" x14ac:dyDescent="0.25">
      <c r="B21" s="430"/>
      <c r="C21" s="764"/>
      <c r="D21" s="764"/>
      <c r="E21" s="764"/>
      <c r="F21" s="764"/>
      <c r="G21" s="765"/>
      <c r="I21" s="766"/>
      <c r="J21" s="766"/>
      <c r="K21" s="767"/>
      <c r="N21" s="768"/>
      <c r="O21" s="768"/>
      <c r="P21" s="768"/>
      <c r="Q21" s="768"/>
      <c r="R21" s="768"/>
    </row>
    <row r="22" spans="2:18" s="759" customFormat="1" ht="27.45" customHeight="1" x14ac:dyDescent="0.25">
      <c r="B22" s="1113" t="s">
        <v>412</v>
      </c>
      <c r="C22" s="1113"/>
      <c r="D22" s="1113"/>
      <c r="E22" s="762"/>
      <c r="F22" s="762"/>
      <c r="G22" s="763"/>
      <c r="H22" s="760"/>
      <c r="I22" s="769"/>
      <c r="J22" s="769"/>
      <c r="K22" s="770"/>
      <c r="N22" s="771"/>
      <c r="O22" s="771"/>
      <c r="P22" s="771"/>
      <c r="Q22" s="771"/>
      <c r="R22" s="771"/>
    </row>
    <row r="23" spans="2:18" ht="13.8" thickBot="1" x14ac:dyDescent="0.3"/>
    <row r="24" spans="2:18" ht="42.45" customHeight="1" thickBot="1" x14ac:dyDescent="0.3">
      <c r="C24" s="412" t="s">
        <v>413</v>
      </c>
      <c r="D24" s="403" t="s">
        <v>141</v>
      </c>
      <c r="E24" s="403" t="s">
        <v>142</v>
      </c>
      <c r="F24" s="403" t="s">
        <v>36</v>
      </c>
      <c r="G24" s="403" t="s">
        <v>414</v>
      </c>
      <c r="H24" s="403" t="s">
        <v>415</v>
      </c>
      <c r="I24" s="403" t="s">
        <v>416</v>
      </c>
      <c r="J24" s="403" t="s">
        <v>417</v>
      </c>
      <c r="K24" s="409" t="s">
        <v>418</v>
      </c>
      <c r="M24" s="380"/>
    </row>
    <row r="25" spans="2:18" s="354" customFormat="1" ht="49.95" customHeight="1" x14ac:dyDescent="0.25">
      <c r="C25" s="381"/>
      <c r="D25" s="342"/>
      <c r="E25" s="342"/>
      <c r="F25" s="343"/>
      <c r="G25" s="404" t="str" cm="1">
        <f t="array" ref="G25">IFERROR(_xlfn.IFS(E25=Material.Biblioteca.Minergie[[#Headers],[Material.Biblioteca.Minergie]],VLOOKUP(F25,BIBLIOTECA.MINERGIE[#All],4,0),E25=Material.Biblioteca.Personal[[#Headers],[Material.Biblioteca.Personal]],VLOOKUP(F25,BIBLIOTECA.PERSONAL13[#All],4,0)),"-")</f>
        <v>-</v>
      </c>
      <c r="H25" s="404" t="str" cm="1">
        <f t="array" ref="H25">IFERROR(_xlfn.IFS(E25=Material.Biblioteca.Minergie[[#Headers],[Material.Biblioteca.Minergie]],VLOOKUP(F25,BIBLIOTECA.MINERGIE[#All],2,0),E25=Material.Biblioteca.Personal[[#Headers],[Material.Biblioteca.Personal]],VLOOKUP(F25,BIBLIOTECA.PERSONAL13[#All],2,0)),"-")</f>
        <v>-</v>
      </c>
      <c r="I25" s="404" t="str" cm="1">
        <f t="array" ref="I25">IFERROR(_xlfn.IFS(E25=Material.Biblioteca.Minergie[[#Headers],[Material.Biblioteca.Minergie]],VLOOKUP(F25,BIBLIOTECA.MINERGIE[#All],3,0),E25=Material.Biblioteca.Personal[[#Headers],[Material.Biblioteca.Personal]],VLOOKUP(F25,BIBLIOTECA.PERSONAL13[#All],3,0)),"-")</f>
        <v>-</v>
      </c>
      <c r="J25" s="382"/>
      <c r="K25" s="410">
        <f t="shared" ref="K25:K61" si="0">IFERROR(I25*J25,0)</f>
        <v>0</v>
      </c>
      <c r="L25" s="170"/>
      <c r="N25" s="1080" t="s">
        <v>419</v>
      </c>
      <c r="O25" s="1080"/>
      <c r="P25" s="1080"/>
      <c r="Q25" s="1080"/>
      <c r="R25" s="1080"/>
    </row>
    <row r="26" spans="2:18" ht="49.95" customHeight="1" x14ac:dyDescent="0.25">
      <c r="C26" s="381"/>
      <c r="D26" s="342"/>
      <c r="E26" s="342"/>
      <c r="F26" s="343"/>
      <c r="G26" s="404" t="str" cm="1">
        <f t="array" ref="G26">IFERROR(_xlfn.IFS(E26=Material.Biblioteca.Minergie[[#Headers],[Material.Biblioteca.Minergie]],VLOOKUP(F26,BIBLIOTECA.MINERGIE[#All],4,0),E26=Material.Biblioteca.Personal[[#Headers],[Material.Biblioteca.Personal]],VLOOKUP(F26,BIBLIOTECA.PERSONAL13[#All],4,0)),"-")</f>
        <v>-</v>
      </c>
      <c r="H26" s="404" t="str" cm="1">
        <f t="array" ref="H26">IFERROR(_xlfn.IFS(E26=Material.Biblioteca.Minergie[[#Headers],[Material.Biblioteca.Minergie]],VLOOKUP(F26,BIBLIOTECA.MINERGIE[#All],2,0),E26=Material.Biblioteca.Personal[[#Headers],[Material.Biblioteca.Personal]],VLOOKUP(F26,BIBLIOTECA.PERSONAL13[#All],2,0)),"-")</f>
        <v>-</v>
      </c>
      <c r="I26" s="404" t="str" cm="1">
        <f t="array" ref="I26">IFERROR(_xlfn.IFS(E26=Material.Biblioteca.Minergie[[#Headers],[Material.Biblioteca.Minergie]],VLOOKUP(F26,BIBLIOTECA.MINERGIE[#All],3,0),E26=Material.Biblioteca.Personal[[#Headers],[Material.Biblioteca.Personal]],VLOOKUP(F26,BIBLIOTECA.PERSONAL13[#All],3,0)),"-")</f>
        <v>-</v>
      </c>
      <c r="J26" s="382"/>
      <c r="K26" s="410">
        <f t="shared" si="0"/>
        <v>0</v>
      </c>
      <c r="N26" s="1080"/>
      <c r="O26" s="1080"/>
      <c r="P26" s="1080"/>
      <c r="Q26" s="1080"/>
      <c r="R26" s="1080"/>
    </row>
    <row r="27" spans="2:18" ht="49.95" customHeight="1" x14ac:dyDescent="0.25">
      <c r="C27" s="381"/>
      <c r="D27" s="342"/>
      <c r="E27" s="342"/>
      <c r="F27" s="343"/>
      <c r="G27" s="404" t="str" cm="1">
        <f t="array" ref="G27">IFERROR(_xlfn.IFS(E27=Material.Biblioteca.Minergie[[#Headers],[Material.Biblioteca.Minergie]],VLOOKUP(F27,BIBLIOTECA.MINERGIE[#All],4,0),E27=Material.Biblioteca.Personal[[#Headers],[Material.Biblioteca.Personal]],VLOOKUP(F27,BIBLIOTECA.PERSONAL13[#All],4,0)),"-")</f>
        <v>-</v>
      </c>
      <c r="H27" s="404" t="str" cm="1">
        <f t="array" ref="H27">IFERROR(_xlfn.IFS(E27=Material.Biblioteca.Minergie[[#Headers],[Material.Biblioteca.Minergie]],VLOOKUP(F27,BIBLIOTECA.MINERGIE[#All],2,0),E27=Material.Biblioteca.Personal[[#Headers],[Material.Biblioteca.Personal]],VLOOKUP(F27,BIBLIOTECA.PERSONAL13[#All],2,0)),"-")</f>
        <v>-</v>
      </c>
      <c r="I27" s="404" t="str" cm="1">
        <f t="array" ref="I27">IFERROR(_xlfn.IFS(E27=Material.Biblioteca.Minergie[[#Headers],[Material.Biblioteca.Minergie]],VLOOKUP(F27,BIBLIOTECA.MINERGIE[#All],3,0),E27=Material.Biblioteca.Personal[[#Headers],[Material.Biblioteca.Personal]],VLOOKUP(F27,BIBLIOTECA.PERSONAL13[#All],3,0)),"-")</f>
        <v>-</v>
      </c>
      <c r="J27" s="382"/>
      <c r="K27" s="410">
        <f t="shared" si="0"/>
        <v>0</v>
      </c>
      <c r="N27" s="1080"/>
      <c r="O27" s="1080"/>
      <c r="P27" s="1080"/>
      <c r="Q27" s="1080"/>
      <c r="R27" s="1080"/>
    </row>
    <row r="28" spans="2:18" ht="49.95" customHeight="1" x14ac:dyDescent="0.25">
      <c r="C28" s="381"/>
      <c r="D28" s="342"/>
      <c r="E28" s="342"/>
      <c r="F28" s="343"/>
      <c r="G28" s="404" t="str" cm="1">
        <f t="array" ref="G28">IFERROR(_xlfn.IFS(E28=Material.Biblioteca.Minergie[[#Headers],[Material.Biblioteca.Minergie]],VLOOKUP(F28,BIBLIOTECA.MINERGIE[#All],4,0),E28=Material.Biblioteca.Personal[[#Headers],[Material.Biblioteca.Personal]],VLOOKUP(F28,BIBLIOTECA.PERSONAL13[#All],4,0)),"-")</f>
        <v>-</v>
      </c>
      <c r="H28" s="404" t="str" cm="1">
        <f t="array" ref="H28">IFERROR(_xlfn.IFS(E28=Material.Biblioteca.Minergie[[#Headers],[Material.Biblioteca.Minergie]],VLOOKUP(F28,BIBLIOTECA.MINERGIE[#All],2,0),E28=Material.Biblioteca.Personal[[#Headers],[Material.Biblioteca.Personal]],VLOOKUP(F28,BIBLIOTECA.PERSONAL13[#All],2,0)),"-")</f>
        <v>-</v>
      </c>
      <c r="I28" s="404" t="str" cm="1">
        <f t="array" ref="I28">IFERROR(_xlfn.IFS(E28=Material.Biblioteca.Minergie[[#Headers],[Material.Biblioteca.Minergie]],VLOOKUP(F28,BIBLIOTECA.MINERGIE[#All],3,0),E28=Material.Biblioteca.Personal[[#Headers],[Material.Biblioteca.Personal]],VLOOKUP(F28,BIBLIOTECA.PERSONAL13[#All],3,0)),"-")</f>
        <v>-</v>
      </c>
      <c r="J28" s="382"/>
      <c r="K28" s="410">
        <f t="shared" si="0"/>
        <v>0</v>
      </c>
      <c r="N28" s="1080"/>
      <c r="O28" s="1080"/>
      <c r="P28" s="1080"/>
      <c r="Q28" s="1080"/>
      <c r="R28" s="1080"/>
    </row>
    <row r="29" spans="2:18" ht="49.95" customHeight="1" x14ac:dyDescent="0.25">
      <c r="C29" s="381"/>
      <c r="D29" s="342"/>
      <c r="E29" s="342"/>
      <c r="F29" s="343"/>
      <c r="G29" s="404" t="str" cm="1">
        <f t="array" ref="G29">IFERROR(_xlfn.IFS(E29=Material.Biblioteca.Minergie[[#Headers],[Material.Biblioteca.Minergie]],VLOOKUP(F29,BIBLIOTECA.MINERGIE[#All],4,0),E29=Material.Biblioteca.Personal[[#Headers],[Material.Biblioteca.Personal]],VLOOKUP(F29,BIBLIOTECA.PERSONAL13[#All],4,0)),"-")</f>
        <v>-</v>
      </c>
      <c r="H29" s="404" t="str" cm="1">
        <f t="array" ref="H29">IFERROR(_xlfn.IFS(E29=Material.Biblioteca.Minergie[[#Headers],[Material.Biblioteca.Minergie]],VLOOKUP(F29,BIBLIOTECA.MINERGIE[#All],2,0),E29=Material.Biblioteca.Personal[[#Headers],[Material.Biblioteca.Personal]],VLOOKUP(F29,BIBLIOTECA.PERSONAL13[#All],2,0)),"-")</f>
        <v>-</v>
      </c>
      <c r="I29" s="404" t="str" cm="1">
        <f t="array" ref="I29">IFERROR(_xlfn.IFS(E29=Material.Biblioteca.Minergie[[#Headers],[Material.Biblioteca.Minergie]],VLOOKUP(F29,BIBLIOTECA.MINERGIE[#All],3,0),E29=Material.Biblioteca.Personal[[#Headers],[Material.Biblioteca.Personal]],VLOOKUP(F29,BIBLIOTECA.PERSONAL13[#All],3,0)),"-")</f>
        <v>-</v>
      </c>
      <c r="J29" s="382"/>
      <c r="K29" s="410">
        <f t="shared" si="0"/>
        <v>0</v>
      </c>
      <c r="N29" s="1080"/>
      <c r="O29" s="1080"/>
      <c r="P29" s="1080"/>
      <c r="Q29" s="1080"/>
      <c r="R29" s="1080"/>
    </row>
    <row r="30" spans="2:18" s="351" customFormat="1" ht="49.95" customHeight="1" x14ac:dyDescent="0.25">
      <c r="C30" s="381"/>
      <c r="D30" s="342"/>
      <c r="E30" s="342"/>
      <c r="F30" s="343"/>
      <c r="G30" s="404" t="str" cm="1">
        <f t="array" ref="G30">IFERROR(_xlfn.IFS(E30=Material.Biblioteca.Minergie[[#Headers],[Material.Biblioteca.Minergie]],VLOOKUP(F30,BIBLIOTECA.MINERGIE[#All],4,0),E30=Material.Biblioteca.Personal[[#Headers],[Material.Biblioteca.Personal]],VLOOKUP(F30,BIBLIOTECA.PERSONAL13[#All],4,0)),"-")</f>
        <v>-</v>
      </c>
      <c r="H30" s="404" t="str" cm="1">
        <f t="array" ref="H30">IFERROR(_xlfn.IFS(E30=Material.Biblioteca.Minergie[[#Headers],[Material.Biblioteca.Minergie]],VLOOKUP(F30,BIBLIOTECA.MINERGIE[#All],2,0),E30=Material.Biblioteca.Personal[[#Headers],[Material.Biblioteca.Personal]],VLOOKUP(F30,BIBLIOTECA.PERSONAL13[#All],2,0)),"-")</f>
        <v>-</v>
      </c>
      <c r="I30" s="404" t="str" cm="1">
        <f t="array" ref="I30">IFERROR(_xlfn.IFS(E30=Material.Biblioteca.Minergie[[#Headers],[Material.Biblioteca.Minergie]],VLOOKUP(F30,BIBLIOTECA.MINERGIE[#All],3,0),E30=Material.Biblioteca.Personal[[#Headers],[Material.Biblioteca.Personal]],VLOOKUP(F30,BIBLIOTECA.PERSONAL13[#All],3,0)),"-")</f>
        <v>-</v>
      </c>
      <c r="J30" s="383"/>
      <c r="K30" s="410">
        <f t="shared" si="0"/>
        <v>0</v>
      </c>
      <c r="N30" s="1080"/>
      <c r="O30" s="1080"/>
      <c r="P30" s="1080"/>
      <c r="Q30" s="1080"/>
      <c r="R30" s="1080"/>
    </row>
    <row r="31" spans="2:18" ht="49.95" customHeight="1" x14ac:dyDescent="0.25">
      <c r="C31" s="381"/>
      <c r="D31" s="342"/>
      <c r="E31" s="342"/>
      <c r="F31" s="343"/>
      <c r="G31" s="404" t="str" cm="1">
        <f t="array" ref="G31">IFERROR(_xlfn.IFS(E31=Material.Biblioteca.Minergie[[#Headers],[Material.Biblioteca.Minergie]],VLOOKUP(F31,BIBLIOTECA.MINERGIE[#All],4,0),E31=Material.Biblioteca.Personal[[#Headers],[Material.Biblioteca.Personal]],VLOOKUP(F31,BIBLIOTECA.PERSONAL13[#All],4,0)),"-")</f>
        <v>-</v>
      </c>
      <c r="H31" s="404" t="str" cm="1">
        <f t="array" ref="H31">IFERROR(_xlfn.IFS(E31=Material.Biblioteca.Minergie[[#Headers],[Material.Biblioteca.Minergie]],VLOOKUP(F31,BIBLIOTECA.MINERGIE[#All],2,0),E31=Material.Biblioteca.Personal[[#Headers],[Material.Biblioteca.Personal]],VLOOKUP(F31,BIBLIOTECA.PERSONAL13[#All],2,0)),"-")</f>
        <v>-</v>
      </c>
      <c r="I31" s="404" t="str" cm="1">
        <f t="array" ref="I31">IFERROR(_xlfn.IFS(E31=Material.Biblioteca.Minergie[[#Headers],[Material.Biblioteca.Minergie]],VLOOKUP(F31,BIBLIOTECA.MINERGIE[#All],3,0),E31=Material.Biblioteca.Personal[[#Headers],[Material.Biblioteca.Personal]],VLOOKUP(F31,BIBLIOTECA.PERSONAL13[#All],3,0)),"-")</f>
        <v>-</v>
      </c>
      <c r="J31" s="382"/>
      <c r="K31" s="410">
        <f t="shared" si="0"/>
        <v>0</v>
      </c>
      <c r="N31" s="1080"/>
      <c r="O31" s="1080"/>
      <c r="P31" s="1080"/>
      <c r="Q31" s="1080"/>
      <c r="R31" s="1080"/>
    </row>
    <row r="32" spans="2:18" ht="49.95" customHeight="1" thickBot="1" x14ac:dyDescent="0.3">
      <c r="C32" s="381"/>
      <c r="D32" s="342"/>
      <c r="E32" s="342"/>
      <c r="F32" s="343"/>
      <c r="G32" s="404" t="str" cm="1">
        <f t="array" ref="G32">IFERROR(_xlfn.IFS(E32=Material.Biblioteca.Minergie[[#Headers],[Material.Biblioteca.Minergie]],VLOOKUP(F32,BIBLIOTECA.MINERGIE[#All],4,0),E32=Material.Biblioteca.Personal[[#Headers],[Material.Biblioteca.Personal]],VLOOKUP(F32,BIBLIOTECA.PERSONAL13[#All],4,0)),"-")</f>
        <v>-</v>
      </c>
      <c r="H32" s="404" t="str" cm="1">
        <f t="array" ref="H32">IFERROR(_xlfn.IFS(E32=Material.Biblioteca.Minergie[[#Headers],[Material.Biblioteca.Minergie]],VLOOKUP(F32,BIBLIOTECA.MINERGIE[#All],2,0),E32=Material.Biblioteca.Personal[[#Headers],[Material.Biblioteca.Personal]],VLOOKUP(F32,BIBLIOTECA.PERSONAL13[#All],2,0)),"-")</f>
        <v>-</v>
      </c>
      <c r="I32" s="404" t="str" cm="1">
        <f t="array" ref="I32">IFERROR(_xlfn.IFS(E32=Material.Biblioteca.Minergie[[#Headers],[Material.Biblioteca.Minergie]],VLOOKUP(F32,BIBLIOTECA.MINERGIE[#All],3,0),E32=Material.Biblioteca.Personal[[#Headers],[Material.Biblioteca.Personal]],VLOOKUP(F32,BIBLIOTECA.PERSONAL13[#All],3,0)),"-")</f>
        <v>-</v>
      </c>
      <c r="J32" s="382"/>
      <c r="K32" s="410">
        <f t="shared" si="0"/>
        <v>0</v>
      </c>
      <c r="N32" s="1080"/>
      <c r="O32" s="1080"/>
      <c r="P32" s="1080"/>
      <c r="Q32" s="1080"/>
      <c r="R32" s="1080"/>
    </row>
    <row r="33" spans="3:18" ht="49.95" customHeight="1" x14ac:dyDescent="0.25">
      <c r="C33" s="381"/>
      <c r="D33" s="342"/>
      <c r="E33" s="342"/>
      <c r="F33" s="343"/>
      <c r="G33" s="404" t="str" cm="1">
        <f t="array" ref="G33">IFERROR(_xlfn.IFS(E33=Material.Biblioteca.Minergie[[#Headers],[Material.Biblioteca.Minergie]],VLOOKUP(F33,BIBLIOTECA.MINERGIE[#All],4,0),E33=Material.Biblioteca.Personal[[#Headers],[Material.Biblioteca.Personal]],VLOOKUP(F33,BIBLIOTECA.PERSONAL13[#All],4,0)),"-")</f>
        <v>-</v>
      </c>
      <c r="H33" s="404" t="str" cm="1">
        <f t="array" ref="H33">IFERROR(_xlfn.IFS(E33=Material.Biblioteca.Minergie[[#Headers],[Material.Biblioteca.Minergie]],VLOOKUP(F33,BIBLIOTECA.MINERGIE[#All],2,0),E33=Material.Biblioteca.Personal[[#Headers],[Material.Biblioteca.Personal]],VLOOKUP(F33,BIBLIOTECA.PERSONAL13[#All],2,0)),"-")</f>
        <v>-</v>
      </c>
      <c r="I33" s="404" t="str" cm="1">
        <f t="array" ref="I33">IFERROR(_xlfn.IFS(E33=Material.Biblioteca.Minergie[[#Headers],[Material.Biblioteca.Minergie]],VLOOKUP(F33,BIBLIOTECA.MINERGIE[#All],3,0),E33=Material.Biblioteca.Personal[[#Headers],[Material.Biblioteca.Personal]],VLOOKUP(F33,BIBLIOTECA.PERSONAL13[#All],3,0)),"-")</f>
        <v>-</v>
      </c>
      <c r="J33" s="382"/>
      <c r="K33" s="410">
        <f t="shared" si="0"/>
        <v>0</v>
      </c>
      <c r="N33" s="1081" t="s">
        <v>420</v>
      </c>
      <c r="O33" s="1082"/>
      <c r="P33" s="1082"/>
      <c r="Q33" s="1082"/>
      <c r="R33" s="1083"/>
    </row>
    <row r="34" spans="3:18" ht="49.95" customHeight="1" x14ac:dyDescent="0.25">
      <c r="C34" s="381"/>
      <c r="D34" s="342"/>
      <c r="E34" s="342"/>
      <c r="F34" s="343"/>
      <c r="G34" s="404" t="str" cm="1">
        <f t="array" ref="G34">IFERROR(_xlfn.IFS(E34=Material.Biblioteca.Minergie[[#Headers],[Material.Biblioteca.Minergie]],VLOOKUP(F34,BIBLIOTECA.MINERGIE[#All],4,0),E34=Material.Biblioteca.Personal[[#Headers],[Material.Biblioteca.Personal]],VLOOKUP(F34,BIBLIOTECA.PERSONAL13[#All],4,0)),"-")</f>
        <v>-</v>
      </c>
      <c r="H34" s="404" t="str" cm="1">
        <f t="array" ref="H34">IFERROR(_xlfn.IFS(E34=Material.Biblioteca.Minergie[[#Headers],[Material.Biblioteca.Minergie]],VLOOKUP(F34,BIBLIOTECA.MINERGIE[#All],2,0),E34=Material.Biblioteca.Personal[[#Headers],[Material.Biblioteca.Personal]],VLOOKUP(F34,BIBLIOTECA.PERSONAL13[#All],2,0)),"-")</f>
        <v>-</v>
      </c>
      <c r="I34" s="404" t="str" cm="1">
        <f t="array" ref="I34">IFERROR(_xlfn.IFS(E34=Material.Biblioteca.Minergie[[#Headers],[Material.Biblioteca.Minergie]],VLOOKUP(F34,BIBLIOTECA.MINERGIE[#All],3,0),E34=Material.Biblioteca.Personal[[#Headers],[Material.Biblioteca.Personal]],VLOOKUP(F34,BIBLIOTECA.PERSONAL13[#All],3,0)),"-")</f>
        <v>-</v>
      </c>
      <c r="J34" s="382"/>
      <c r="K34" s="410">
        <f t="shared" si="0"/>
        <v>0</v>
      </c>
      <c r="N34" s="1084"/>
      <c r="O34" s="1085"/>
      <c r="P34" s="1085"/>
      <c r="Q34" s="1085"/>
      <c r="R34" s="1086"/>
    </row>
    <row r="35" spans="3:18" ht="49.95" customHeight="1" x14ac:dyDescent="0.25">
      <c r="C35" s="381"/>
      <c r="D35" s="342"/>
      <c r="E35" s="342"/>
      <c r="F35" s="343"/>
      <c r="G35" s="404" t="str" cm="1">
        <f t="array" ref="G35">IFERROR(_xlfn.IFS(E35=Material.Biblioteca.Minergie[[#Headers],[Material.Biblioteca.Minergie]],VLOOKUP(F35,BIBLIOTECA.MINERGIE[#All],4,0),E35=Material.Biblioteca.Personal[[#Headers],[Material.Biblioteca.Personal]],VLOOKUP(F35,BIBLIOTECA.PERSONAL13[#All],4,0)),"-")</f>
        <v>-</v>
      </c>
      <c r="H35" s="404" t="str" cm="1">
        <f t="array" ref="H35">IFERROR(_xlfn.IFS(E35=Material.Biblioteca.Minergie[[#Headers],[Material.Biblioteca.Minergie]],VLOOKUP(F35,BIBLIOTECA.MINERGIE[#All],2,0),E35=Material.Biblioteca.Personal[[#Headers],[Material.Biblioteca.Personal]],VLOOKUP(F35,BIBLIOTECA.PERSONAL13[#All],2,0)),"-")</f>
        <v>-</v>
      </c>
      <c r="I35" s="404" t="str" cm="1">
        <f t="array" ref="I35">IFERROR(_xlfn.IFS(E35=Material.Biblioteca.Minergie[[#Headers],[Material.Biblioteca.Minergie]],VLOOKUP(F35,BIBLIOTECA.MINERGIE[#All],3,0),E35=Material.Biblioteca.Personal[[#Headers],[Material.Biblioteca.Personal]],VLOOKUP(F35,BIBLIOTECA.PERSONAL13[#All],3,0)),"-")</f>
        <v>-</v>
      </c>
      <c r="J35" s="382"/>
      <c r="K35" s="410">
        <f t="shared" si="0"/>
        <v>0</v>
      </c>
      <c r="N35" s="1084"/>
      <c r="O35" s="1085"/>
      <c r="P35" s="1085"/>
      <c r="Q35" s="1085"/>
      <c r="R35" s="1086"/>
    </row>
    <row r="36" spans="3:18" ht="49.95" customHeight="1" thickBot="1" x14ac:dyDescent="0.3">
      <c r="C36" s="381"/>
      <c r="D36" s="342"/>
      <c r="E36" s="342"/>
      <c r="F36" s="343"/>
      <c r="G36" s="404" t="str" cm="1">
        <f t="array" ref="G36">IFERROR(_xlfn.IFS(E36=Material.Biblioteca.Minergie[[#Headers],[Material.Biblioteca.Minergie]],VLOOKUP(F36,BIBLIOTECA.MINERGIE[#All],4,0),E36=Material.Biblioteca.Personal[[#Headers],[Material.Biblioteca.Personal]],VLOOKUP(F36,BIBLIOTECA.PERSONAL13[#All],4,0)),"-")</f>
        <v>-</v>
      </c>
      <c r="H36" s="404" t="str" cm="1">
        <f t="array" ref="H36">IFERROR(_xlfn.IFS(E36=Material.Biblioteca.Minergie[[#Headers],[Material.Biblioteca.Minergie]],VLOOKUP(F36,BIBLIOTECA.MINERGIE[#All],2,0),E36=Material.Biblioteca.Personal[[#Headers],[Material.Biblioteca.Personal]],VLOOKUP(F36,BIBLIOTECA.PERSONAL13[#All],2,0)),"-")</f>
        <v>-</v>
      </c>
      <c r="I36" s="404" t="str" cm="1">
        <f t="array" ref="I36">IFERROR(_xlfn.IFS(E36=Material.Biblioteca.Minergie[[#Headers],[Material.Biblioteca.Minergie]],VLOOKUP(F36,BIBLIOTECA.MINERGIE[#All],3,0),E36=Material.Biblioteca.Personal[[#Headers],[Material.Biblioteca.Personal]],VLOOKUP(F36,BIBLIOTECA.PERSONAL13[#All],3,0)),"-")</f>
        <v>-</v>
      </c>
      <c r="J36" s="382"/>
      <c r="K36" s="410">
        <f t="shared" si="0"/>
        <v>0</v>
      </c>
      <c r="N36" s="1087"/>
      <c r="O36" s="1088"/>
      <c r="P36" s="1088"/>
      <c r="Q36" s="1088"/>
      <c r="R36" s="1089"/>
    </row>
    <row r="37" spans="3:18" ht="49.95" customHeight="1" x14ac:dyDescent="0.25">
      <c r="C37" s="381"/>
      <c r="D37" s="342"/>
      <c r="E37" s="342"/>
      <c r="F37" s="343"/>
      <c r="G37" s="404" t="str" cm="1">
        <f t="array" ref="G37">IFERROR(_xlfn.IFS(E37=Material.Biblioteca.Minergie[[#Headers],[Material.Biblioteca.Minergie]],VLOOKUP(F37,BIBLIOTECA.MINERGIE[#All],4,0),E37=Material.Biblioteca.Personal[[#Headers],[Material.Biblioteca.Personal]],VLOOKUP(F37,BIBLIOTECA.PERSONAL13[#All],4,0)),"-")</f>
        <v>-</v>
      </c>
      <c r="H37" s="404" t="str" cm="1">
        <f t="array" ref="H37">IFERROR(_xlfn.IFS(E37=Material.Biblioteca.Minergie[[#Headers],[Material.Biblioteca.Minergie]],VLOOKUP(F37,BIBLIOTECA.MINERGIE[#All],2,0),E37=Material.Biblioteca.Personal[[#Headers],[Material.Biblioteca.Personal]],VLOOKUP(F37,BIBLIOTECA.PERSONAL13[#All],2,0)),"-")</f>
        <v>-</v>
      </c>
      <c r="I37" s="404" t="str" cm="1">
        <f t="array" ref="I37">IFERROR(_xlfn.IFS(E37=Material.Biblioteca.Minergie[[#Headers],[Material.Biblioteca.Minergie]],VLOOKUP(F37,BIBLIOTECA.MINERGIE[#All],3,0),E37=Material.Biblioteca.Personal[[#Headers],[Material.Biblioteca.Personal]],VLOOKUP(F37,BIBLIOTECA.PERSONAL13[#All],3,0)),"-")</f>
        <v>-</v>
      </c>
      <c r="J37" s="382"/>
      <c r="K37" s="410">
        <f t="shared" si="0"/>
        <v>0</v>
      </c>
      <c r="N37" s="1094" t="s">
        <v>421</v>
      </c>
      <c r="O37" s="1095"/>
      <c r="P37" s="1095"/>
      <c r="Q37" s="1095"/>
      <c r="R37" s="1096"/>
    </row>
    <row r="38" spans="3:18" ht="49.95" customHeight="1" x14ac:dyDescent="0.25">
      <c r="C38" s="381"/>
      <c r="D38" s="342"/>
      <c r="E38" s="342"/>
      <c r="F38" s="343"/>
      <c r="G38" s="404" t="str" cm="1">
        <f t="array" ref="G38">IFERROR(_xlfn.IFS(E38=Material.Biblioteca.Minergie[[#Headers],[Material.Biblioteca.Minergie]],VLOOKUP(F38,BIBLIOTECA.MINERGIE[#All],4,0),E38=Material.Biblioteca.Personal[[#Headers],[Material.Biblioteca.Personal]],VLOOKUP(F38,BIBLIOTECA.PERSONAL13[#All],4,0)),"-")</f>
        <v>-</v>
      </c>
      <c r="H38" s="404" t="str" cm="1">
        <f t="array" ref="H38">IFERROR(_xlfn.IFS(E38=Material.Biblioteca.Minergie[[#Headers],[Material.Biblioteca.Minergie]],VLOOKUP(F38,BIBLIOTECA.MINERGIE[#All],2,0),E38=Material.Biblioteca.Personal[[#Headers],[Material.Biblioteca.Personal]],VLOOKUP(F38,BIBLIOTECA.PERSONAL13[#All],2,0)),"-")</f>
        <v>-</v>
      </c>
      <c r="I38" s="404" t="str" cm="1">
        <f t="array" ref="I38">IFERROR(_xlfn.IFS(E38=Material.Biblioteca.Minergie[[#Headers],[Material.Biblioteca.Minergie]],VLOOKUP(F38,BIBLIOTECA.MINERGIE[#All],3,0),E38=Material.Biblioteca.Personal[[#Headers],[Material.Biblioteca.Personal]],VLOOKUP(F38,BIBLIOTECA.PERSONAL13[#All],3,0)),"-")</f>
        <v>-</v>
      </c>
      <c r="J38" s="382"/>
      <c r="K38" s="410">
        <f t="shared" si="0"/>
        <v>0</v>
      </c>
      <c r="N38" s="1097"/>
      <c r="O38" s="1098"/>
      <c r="P38" s="1098"/>
      <c r="Q38" s="1098"/>
      <c r="R38" s="1099"/>
    </row>
    <row r="39" spans="3:18" ht="49.95" customHeight="1" x14ac:dyDescent="0.25">
      <c r="C39" s="381"/>
      <c r="D39" s="342"/>
      <c r="E39" s="342"/>
      <c r="F39" s="343"/>
      <c r="G39" s="404" t="str" cm="1">
        <f t="array" ref="G39">IFERROR(_xlfn.IFS(E39=Material.Biblioteca.Minergie[[#Headers],[Material.Biblioteca.Minergie]],VLOOKUP(F39,BIBLIOTECA.MINERGIE[#All],4,0),E39=Material.Biblioteca.Personal[[#Headers],[Material.Biblioteca.Personal]],VLOOKUP(F39,BIBLIOTECA.PERSONAL13[#All],4,0)),"-")</f>
        <v>-</v>
      </c>
      <c r="H39" s="404" t="str" cm="1">
        <f t="array" ref="H39">IFERROR(_xlfn.IFS(E39=Material.Biblioteca.Minergie[[#Headers],[Material.Biblioteca.Minergie]],VLOOKUP(F39,BIBLIOTECA.MINERGIE[#All],2,0),E39=Material.Biblioteca.Personal[[#Headers],[Material.Biblioteca.Personal]],VLOOKUP(F39,BIBLIOTECA.PERSONAL13[#All],2,0)),"-")</f>
        <v>-</v>
      </c>
      <c r="I39" s="404" t="str" cm="1">
        <f t="array" ref="I39">IFERROR(_xlfn.IFS(E39=Material.Biblioteca.Minergie[[#Headers],[Material.Biblioteca.Minergie]],VLOOKUP(F39,BIBLIOTECA.MINERGIE[#All],3,0),E39=Material.Biblioteca.Personal[[#Headers],[Material.Biblioteca.Personal]],VLOOKUP(F39,BIBLIOTECA.PERSONAL13[#All],3,0)),"-")</f>
        <v>-</v>
      </c>
      <c r="J39" s="382"/>
      <c r="K39" s="410">
        <f t="shared" si="0"/>
        <v>0</v>
      </c>
      <c r="N39" s="1097"/>
      <c r="O39" s="1098"/>
      <c r="P39" s="1098"/>
      <c r="Q39" s="1098"/>
      <c r="R39" s="1099"/>
    </row>
    <row r="40" spans="3:18" ht="49.95" customHeight="1" thickBot="1" x14ac:dyDescent="0.3">
      <c r="C40" s="381"/>
      <c r="D40" s="342"/>
      <c r="E40" s="342"/>
      <c r="F40" s="343"/>
      <c r="G40" s="404" t="str" cm="1">
        <f t="array" ref="G40">IFERROR(_xlfn.IFS(E40=Material.Biblioteca.Minergie[[#Headers],[Material.Biblioteca.Minergie]],VLOOKUP(F40,BIBLIOTECA.MINERGIE[#All],4,0),E40=Material.Biblioteca.Personal[[#Headers],[Material.Biblioteca.Personal]],VLOOKUP(F40,BIBLIOTECA.PERSONAL13[#All],4,0)),"-")</f>
        <v>-</v>
      </c>
      <c r="H40" s="404" t="str" cm="1">
        <f t="array" ref="H40">IFERROR(_xlfn.IFS(E40=Material.Biblioteca.Minergie[[#Headers],[Material.Biblioteca.Minergie]],VLOOKUP(F40,BIBLIOTECA.MINERGIE[#All],2,0),E40=Material.Biblioteca.Personal[[#Headers],[Material.Biblioteca.Personal]],VLOOKUP(F40,BIBLIOTECA.PERSONAL13[#All],2,0)),"-")</f>
        <v>-</v>
      </c>
      <c r="I40" s="404" t="str" cm="1">
        <f t="array" ref="I40">IFERROR(_xlfn.IFS(E40=Material.Biblioteca.Minergie[[#Headers],[Material.Biblioteca.Minergie]],VLOOKUP(F40,BIBLIOTECA.MINERGIE[#All],3,0),E40=Material.Biblioteca.Personal[[#Headers],[Material.Biblioteca.Personal]],VLOOKUP(F40,BIBLIOTECA.PERSONAL13[#All],3,0)),"-")</f>
        <v>-</v>
      </c>
      <c r="J40" s="382"/>
      <c r="K40" s="410">
        <f t="shared" si="0"/>
        <v>0</v>
      </c>
      <c r="N40" s="1100"/>
      <c r="O40" s="1101"/>
      <c r="P40" s="1101"/>
      <c r="Q40" s="1101"/>
      <c r="R40" s="1102"/>
    </row>
    <row r="41" spans="3:18" ht="49.95" customHeight="1" x14ac:dyDescent="0.25">
      <c r="C41" s="381"/>
      <c r="D41" s="342"/>
      <c r="E41" s="342"/>
      <c r="F41" s="343"/>
      <c r="G41" s="404" t="str" cm="1">
        <f t="array" ref="G41">IFERROR(_xlfn.IFS(E41=Material.Biblioteca.Minergie[[#Headers],[Material.Biblioteca.Minergie]],VLOOKUP(F41,BIBLIOTECA.MINERGIE[#All],4,0),E41=Material.Biblioteca.Personal[[#Headers],[Material.Biblioteca.Personal]],VLOOKUP(F41,BIBLIOTECA.PERSONAL13[#All],4,0)),"-")</f>
        <v>-</v>
      </c>
      <c r="H41" s="404" t="str" cm="1">
        <f t="array" ref="H41">IFERROR(_xlfn.IFS(E41=Material.Biblioteca.Minergie[[#Headers],[Material.Biblioteca.Minergie]],VLOOKUP(F41,BIBLIOTECA.MINERGIE[#All],2,0),E41=Material.Biblioteca.Personal[[#Headers],[Material.Biblioteca.Personal]],VLOOKUP(F41,BIBLIOTECA.PERSONAL13[#All],2,0)),"-")</f>
        <v>-</v>
      </c>
      <c r="I41" s="404" t="str" cm="1">
        <f t="array" ref="I41">IFERROR(_xlfn.IFS(E41=Material.Biblioteca.Minergie[[#Headers],[Material.Biblioteca.Minergie]],VLOOKUP(F41,BIBLIOTECA.MINERGIE[#All],3,0),E41=Material.Biblioteca.Personal[[#Headers],[Material.Biblioteca.Personal]],VLOOKUP(F41,BIBLIOTECA.PERSONAL13[#All],3,0)),"-")</f>
        <v>-</v>
      </c>
      <c r="J41" s="382"/>
      <c r="K41" s="410">
        <f t="shared" si="0"/>
        <v>0</v>
      </c>
      <c r="N41" s="384"/>
      <c r="O41" s="384"/>
      <c r="P41" s="384"/>
      <c r="Q41" s="384"/>
      <c r="R41" s="384"/>
    </row>
    <row r="42" spans="3:18" ht="49.95" customHeight="1" x14ac:dyDescent="0.25">
      <c r="C42" s="381"/>
      <c r="D42" s="342"/>
      <c r="E42" s="342"/>
      <c r="F42" s="343"/>
      <c r="G42" s="404" t="str" cm="1">
        <f t="array" ref="G42">IFERROR(_xlfn.IFS(E42=Material.Biblioteca.Minergie[[#Headers],[Material.Biblioteca.Minergie]],VLOOKUP(F42,BIBLIOTECA.MINERGIE[#All],4,0),E42=Material.Biblioteca.Personal[[#Headers],[Material.Biblioteca.Personal]],VLOOKUP(F42,BIBLIOTECA.PERSONAL13[#All],4,0)),"-")</f>
        <v>-</v>
      </c>
      <c r="H42" s="404" t="str" cm="1">
        <f t="array" ref="H42">IFERROR(_xlfn.IFS(E42=Material.Biblioteca.Minergie[[#Headers],[Material.Biblioteca.Minergie]],VLOOKUP(F42,BIBLIOTECA.MINERGIE[#All],2,0),E42=Material.Biblioteca.Personal[[#Headers],[Material.Biblioteca.Personal]],VLOOKUP(F42,BIBLIOTECA.PERSONAL13[#All],2,0)),"-")</f>
        <v>-</v>
      </c>
      <c r="I42" s="404" t="str" cm="1">
        <f t="array" ref="I42">IFERROR(_xlfn.IFS(E42=Material.Biblioteca.Minergie[[#Headers],[Material.Biblioteca.Minergie]],VLOOKUP(F42,BIBLIOTECA.MINERGIE[#All],3,0),E42=Material.Biblioteca.Personal[[#Headers],[Material.Biblioteca.Personal]],VLOOKUP(F42,BIBLIOTECA.PERSONAL13[#All],3,0)),"-")</f>
        <v>-</v>
      </c>
      <c r="J42" s="382"/>
      <c r="K42" s="410">
        <f t="shared" si="0"/>
        <v>0</v>
      </c>
      <c r="N42" s="384"/>
      <c r="O42" s="384"/>
      <c r="P42" s="384"/>
      <c r="Q42" s="384"/>
      <c r="R42" s="384"/>
    </row>
    <row r="43" spans="3:18" ht="49.95" customHeight="1" x14ac:dyDescent="0.25">
      <c r="C43" s="381"/>
      <c r="D43" s="342"/>
      <c r="E43" s="342"/>
      <c r="F43" s="343"/>
      <c r="G43" s="404" t="str" cm="1">
        <f t="array" ref="G43">IFERROR(_xlfn.IFS(E43=Material.Biblioteca.Minergie[[#Headers],[Material.Biblioteca.Minergie]],VLOOKUP(F43,BIBLIOTECA.MINERGIE[#All],4,0),E43=Material.Biblioteca.Personal[[#Headers],[Material.Biblioteca.Personal]],VLOOKUP(F43,BIBLIOTECA.PERSONAL13[#All],4,0)),"-")</f>
        <v>-</v>
      </c>
      <c r="H43" s="404" t="str" cm="1">
        <f t="array" ref="H43">IFERROR(_xlfn.IFS(E43=Material.Biblioteca.Minergie[[#Headers],[Material.Biblioteca.Minergie]],VLOOKUP(F43,BIBLIOTECA.MINERGIE[#All],2,0),E43=Material.Biblioteca.Personal[[#Headers],[Material.Biblioteca.Personal]],VLOOKUP(F43,BIBLIOTECA.PERSONAL13[#All],2,0)),"-")</f>
        <v>-</v>
      </c>
      <c r="I43" s="404" t="str" cm="1">
        <f t="array" ref="I43">IFERROR(_xlfn.IFS(E43=Material.Biblioteca.Minergie[[#Headers],[Material.Biblioteca.Minergie]],VLOOKUP(F43,BIBLIOTECA.MINERGIE[#All],3,0),E43=Material.Biblioteca.Personal[[#Headers],[Material.Biblioteca.Personal]],VLOOKUP(F43,BIBLIOTECA.PERSONAL13[#All],3,0)),"-")</f>
        <v>-</v>
      </c>
      <c r="J43" s="382"/>
      <c r="K43" s="410">
        <f t="shared" si="0"/>
        <v>0</v>
      </c>
      <c r="N43" s="384"/>
      <c r="O43" s="384"/>
      <c r="P43" s="384"/>
      <c r="Q43" s="384"/>
      <c r="R43" s="384"/>
    </row>
    <row r="44" spans="3:18" ht="49.95" customHeight="1" x14ac:dyDescent="0.25">
      <c r="C44" s="381"/>
      <c r="D44" s="342"/>
      <c r="E44" s="342"/>
      <c r="F44" s="343"/>
      <c r="G44" s="404" t="str" cm="1">
        <f t="array" ref="G44">IFERROR(_xlfn.IFS(E44=Material.Biblioteca.Minergie[[#Headers],[Material.Biblioteca.Minergie]],VLOOKUP(F44,BIBLIOTECA.MINERGIE[#All],4,0),E44=Material.Biblioteca.Personal[[#Headers],[Material.Biblioteca.Personal]],VLOOKUP(F44,BIBLIOTECA.PERSONAL13[#All],4,0)),"-")</f>
        <v>-</v>
      </c>
      <c r="H44" s="404" t="str" cm="1">
        <f t="array" ref="H44">IFERROR(_xlfn.IFS(E44=Material.Biblioteca.Minergie[[#Headers],[Material.Biblioteca.Minergie]],VLOOKUP(F44,BIBLIOTECA.MINERGIE[#All],2,0),E44=Material.Biblioteca.Personal[[#Headers],[Material.Biblioteca.Personal]],VLOOKUP(F44,BIBLIOTECA.PERSONAL13[#All],2,0)),"-")</f>
        <v>-</v>
      </c>
      <c r="I44" s="404" t="str" cm="1">
        <f t="array" ref="I44">IFERROR(_xlfn.IFS(E44=Material.Biblioteca.Minergie[[#Headers],[Material.Biblioteca.Minergie]],VLOOKUP(F44,BIBLIOTECA.MINERGIE[#All],3,0),E44=Material.Biblioteca.Personal[[#Headers],[Material.Biblioteca.Personal]],VLOOKUP(F44,BIBLIOTECA.PERSONAL13[#All],3,0)),"-")</f>
        <v>-</v>
      </c>
      <c r="J44" s="382"/>
      <c r="K44" s="410">
        <f t="shared" si="0"/>
        <v>0</v>
      </c>
      <c r="N44" s="384"/>
      <c r="O44" s="384"/>
      <c r="P44" s="384"/>
      <c r="Q44" s="384"/>
      <c r="R44" s="384"/>
    </row>
    <row r="45" spans="3:18" ht="49.95" customHeight="1" x14ac:dyDescent="0.25">
      <c r="C45" s="381"/>
      <c r="D45" s="342"/>
      <c r="E45" s="342"/>
      <c r="F45" s="343"/>
      <c r="G45" s="404" t="str" cm="1">
        <f t="array" ref="G45">IFERROR(_xlfn.IFS(E45=Material.Biblioteca.Minergie[[#Headers],[Material.Biblioteca.Minergie]],VLOOKUP(F45,BIBLIOTECA.MINERGIE[#All],4,0),E45=Material.Biblioteca.Personal[[#Headers],[Material.Biblioteca.Personal]],VLOOKUP(F45,BIBLIOTECA.PERSONAL13[#All],4,0)),"-")</f>
        <v>-</v>
      </c>
      <c r="H45" s="404" t="str" cm="1">
        <f t="array" ref="H45">IFERROR(_xlfn.IFS(E45=Material.Biblioteca.Minergie[[#Headers],[Material.Biblioteca.Minergie]],VLOOKUP(F45,BIBLIOTECA.MINERGIE[#All],2,0),E45=Material.Biblioteca.Personal[[#Headers],[Material.Biblioteca.Personal]],VLOOKUP(F45,BIBLIOTECA.PERSONAL13[#All],2,0)),"-")</f>
        <v>-</v>
      </c>
      <c r="I45" s="404" t="str" cm="1">
        <f t="array" ref="I45">IFERROR(_xlfn.IFS(E45=Material.Biblioteca.Minergie[[#Headers],[Material.Biblioteca.Minergie]],VLOOKUP(F45,BIBLIOTECA.MINERGIE[#All],3,0),E45=Material.Biblioteca.Personal[[#Headers],[Material.Biblioteca.Personal]],VLOOKUP(F45,BIBLIOTECA.PERSONAL13[#All],3,0)),"-")</f>
        <v>-</v>
      </c>
      <c r="J45" s="382"/>
      <c r="K45" s="410">
        <f t="shared" si="0"/>
        <v>0</v>
      </c>
      <c r="N45" s="384"/>
      <c r="O45" s="384"/>
      <c r="P45" s="384"/>
      <c r="Q45" s="384"/>
      <c r="R45" s="384"/>
    </row>
    <row r="46" spans="3:18" ht="49.95" customHeight="1" x14ac:dyDescent="0.25">
      <c r="C46" s="381"/>
      <c r="D46" s="342"/>
      <c r="E46" s="342"/>
      <c r="F46" s="343"/>
      <c r="G46" s="404" t="str" cm="1">
        <f t="array" ref="G46">IFERROR(_xlfn.IFS(E46=Material.Biblioteca.Minergie[[#Headers],[Material.Biblioteca.Minergie]],VLOOKUP(F46,BIBLIOTECA.MINERGIE[#All],4,0),E46=Material.Biblioteca.Personal[[#Headers],[Material.Biblioteca.Personal]],VLOOKUP(F46,BIBLIOTECA.PERSONAL13[#All],4,0)),"-")</f>
        <v>-</v>
      </c>
      <c r="H46" s="404" t="str" cm="1">
        <f t="array" ref="H46">IFERROR(_xlfn.IFS(E46=Material.Biblioteca.Minergie[[#Headers],[Material.Biblioteca.Minergie]],VLOOKUP(F46,BIBLIOTECA.MINERGIE[#All],2,0),E46=Material.Biblioteca.Personal[[#Headers],[Material.Biblioteca.Personal]],VLOOKUP(F46,BIBLIOTECA.PERSONAL13[#All],2,0)),"-")</f>
        <v>-</v>
      </c>
      <c r="I46" s="404" t="str" cm="1">
        <f t="array" ref="I46">IFERROR(_xlfn.IFS(E46=Material.Biblioteca.Minergie[[#Headers],[Material.Biblioteca.Minergie]],VLOOKUP(F46,BIBLIOTECA.MINERGIE[#All],3,0),E46=Material.Biblioteca.Personal[[#Headers],[Material.Biblioteca.Personal]],VLOOKUP(F46,BIBLIOTECA.PERSONAL13[#All],3,0)),"-")</f>
        <v>-</v>
      </c>
      <c r="J46" s="382"/>
      <c r="K46" s="410">
        <f t="shared" si="0"/>
        <v>0</v>
      </c>
      <c r="N46" s="384"/>
      <c r="O46" s="384"/>
      <c r="P46" s="384"/>
      <c r="Q46" s="384"/>
      <c r="R46" s="384"/>
    </row>
    <row r="47" spans="3:18" ht="49.95" customHeight="1" x14ac:dyDescent="0.25">
      <c r="C47" s="381"/>
      <c r="D47" s="342"/>
      <c r="E47" s="342"/>
      <c r="F47" s="343"/>
      <c r="G47" s="404" t="str" cm="1">
        <f t="array" ref="G47">IFERROR(_xlfn.IFS(E47=Material.Biblioteca.Minergie[[#Headers],[Material.Biblioteca.Minergie]],VLOOKUP(F47,BIBLIOTECA.MINERGIE[#All],4,0),E47=Material.Biblioteca.Personal[[#Headers],[Material.Biblioteca.Personal]],VLOOKUP(F47,BIBLIOTECA.PERSONAL13[#All],4,0)),"-")</f>
        <v>-</v>
      </c>
      <c r="H47" s="404" t="str" cm="1">
        <f t="array" ref="H47">IFERROR(_xlfn.IFS(E47=Material.Biblioteca.Minergie[[#Headers],[Material.Biblioteca.Minergie]],VLOOKUP(F47,BIBLIOTECA.MINERGIE[#All],2,0),E47=Material.Biblioteca.Personal[[#Headers],[Material.Biblioteca.Personal]],VLOOKUP(F47,BIBLIOTECA.PERSONAL13[#All],2,0)),"-")</f>
        <v>-</v>
      </c>
      <c r="I47" s="404" t="str" cm="1">
        <f t="array" ref="I47">IFERROR(_xlfn.IFS(E47=Material.Biblioteca.Minergie[[#Headers],[Material.Biblioteca.Minergie]],VLOOKUP(F47,BIBLIOTECA.MINERGIE[#All],3,0),E47=Material.Biblioteca.Personal[[#Headers],[Material.Biblioteca.Personal]],VLOOKUP(F47,BIBLIOTECA.PERSONAL13[#All],3,0)),"-")</f>
        <v>-</v>
      </c>
      <c r="J47" s="382"/>
      <c r="K47" s="410">
        <f t="shared" si="0"/>
        <v>0</v>
      </c>
      <c r="N47" s="384"/>
      <c r="O47" s="384"/>
      <c r="P47" s="384"/>
      <c r="Q47" s="384"/>
      <c r="R47" s="384"/>
    </row>
    <row r="48" spans="3:18" ht="49.95" customHeight="1" x14ac:dyDescent="0.25">
      <c r="C48" s="381"/>
      <c r="D48" s="342"/>
      <c r="E48" s="342"/>
      <c r="F48" s="343"/>
      <c r="G48" s="404" t="str" cm="1">
        <f t="array" ref="G48">IFERROR(_xlfn.IFS(E48=Material.Biblioteca.Minergie[[#Headers],[Material.Biblioteca.Minergie]],VLOOKUP(F48,BIBLIOTECA.MINERGIE[#All],4,0),E48=Material.Biblioteca.Personal[[#Headers],[Material.Biblioteca.Personal]],VLOOKUP(F48,BIBLIOTECA.PERSONAL13[#All],4,0)),"-")</f>
        <v>-</v>
      </c>
      <c r="H48" s="404" t="str" cm="1">
        <f t="array" ref="H48">IFERROR(_xlfn.IFS(E48=Material.Biblioteca.Minergie[[#Headers],[Material.Biblioteca.Minergie]],VLOOKUP(F48,BIBLIOTECA.MINERGIE[#All],2,0),E48=Material.Biblioteca.Personal[[#Headers],[Material.Biblioteca.Personal]],VLOOKUP(F48,BIBLIOTECA.PERSONAL13[#All],2,0)),"-")</f>
        <v>-</v>
      </c>
      <c r="I48" s="404" t="str" cm="1">
        <f t="array" ref="I48">IFERROR(_xlfn.IFS(E48=Material.Biblioteca.Minergie[[#Headers],[Material.Biblioteca.Minergie]],VLOOKUP(F48,BIBLIOTECA.MINERGIE[#All],3,0),E48=Material.Biblioteca.Personal[[#Headers],[Material.Biblioteca.Personal]],VLOOKUP(F48,BIBLIOTECA.PERSONAL13[#All],3,0)),"-")</f>
        <v>-</v>
      </c>
      <c r="J48" s="382"/>
      <c r="K48" s="410">
        <f t="shared" si="0"/>
        <v>0</v>
      </c>
      <c r="N48" s="384"/>
      <c r="O48" s="384"/>
      <c r="P48" s="384"/>
      <c r="Q48" s="384"/>
      <c r="R48" s="384"/>
    </row>
    <row r="49" spans="3:18" ht="49.95" customHeight="1" x14ac:dyDescent="0.25">
      <c r="C49" s="381"/>
      <c r="D49" s="342"/>
      <c r="E49" s="342"/>
      <c r="F49" s="343"/>
      <c r="G49" s="404" t="str" cm="1">
        <f t="array" ref="G49">IFERROR(_xlfn.IFS(E49=Material.Biblioteca.Minergie[[#Headers],[Material.Biblioteca.Minergie]],VLOOKUP(F49,BIBLIOTECA.MINERGIE[#All],4,0),E49=Material.Biblioteca.Personal[[#Headers],[Material.Biblioteca.Personal]],VLOOKUP(F49,BIBLIOTECA.PERSONAL13[#All],4,0)),"-")</f>
        <v>-</v>
      </c>
      <c r="H49" s="404" t="str" cm="1">
        <f t="array" ref="H49">IFERROR(_xlfn.IFS(E49=Material.Biblioteca.Minergie[[#Headers],[Material.Biblioteca.Minergie]],VLOOKUP(F49,BIBLIOTECA.MINERGIE[#All],2,0),E49=Material.Biblioteca.Personal[[#Headers],[Material.Biblioteca.Personal]],VLOOKUP(F49,BIBLIOTECA.PERSONAL13[#All],2,0)),"-")</f>
        <v>-</v>
      </c>
      <c r="I49" s="404" t="str" cm="1">
        <f t="array" ref="I49">IFERROR(_xlfn.IFS(E49=Material.Biblioteca.Minergie[[#Headers],[Material.Biblioteca.Minergie]],VLOOKUP(F49,BIBLIOTECA.MINERGIE[#All],3,0),E49=Material.Biblioteca.Personal[[#Headers],[Material.Biblioteca.Personal]],VLOOKUP(F49,BIBLIOTECA.PERSONAL13[#All],3,0)),"-")</f>
        <v>-</v>
      </c>
      <c r="J49" s="382"/>
      <c r="K49" s="410">
        <f t="shared" si="0"/>
        <v>0</v>
      </c>
      <c r="N49" s="384"/>
      <c r="O49" s="384"/>
      <c r="P49" s="384"/>
      <c r="Q49" s="384"/>
      <c r="R49" s="384"/>
    </row>
    <row r="50" spans="3:18" ht="49.95" customHeight="1" x14ac:dyDescent="0.25">
      <c r="C50" s="381"/>
      <c r="D50" s="342"/>
      <c r="E50" s="342"/>
      <c r="F50" s="343"/>
      <c r="G50" s="404" t="str" cm="1">
        <f t="array" ref="G50">IFERROR(_xlfn.IFS(E50=Material.Biblioteca.Minergie[[#Headers],[Material.Biblioteca.Minergie]],VLOOKUP(F50,BIBLIOTECA.MINERGIE[#All],4,0),E50=Material.Biblioteca.Personal[[#Headers],[Material.Biblioteca.Personal]],VLOOKUP(F50,BIBLIOTECA.PERSONAL13[#All],4,0)),"-")</f>
        <v>-</v>
      </c>
      <c r="H50" s="404" t="str" cm="1">
        <f t="array" ref="H50">IFERROR(_xlfn.IFS(E50=Material.Biblioteca.Minergie[[#Headers],[Material.Biblioteca.Minergie]],VLOOKUP(F50,BIBLIOTECA.MINERGIE[#All],2,0),E50=Material.Biblioteca.Personal[[#Headers],[Material.Biblioteca.Personal]],VLOOKUP(F50,BIBLIOTECA.PERSONAL13[#All],2,0)),"-")</f>
        <v>-</v>
      </c>
      <c r="I50" s="404" t="str" cm="1">
        <f t="array" ref="I50">IFERROR(_xlfn.IFS(E50=Material.Biblioteca.Minergie[[#Headers],[Material.Biblioteca.Minergie]],VLOOKUP(F50,BIBLIOTECA.MINERGIE[#All],3,0),E50=Material.Biblioteca.Personal[[#Headers],[Material.Biblioteca.Personal]],VLOOKUP(F50,BIBLIOTECA.PERSONAL13[#All],3,0)),"-")</f>
        <v>-</v>
      </c>
      <c r="J50" s="382"/>
      <c r="K50" s="410">
        <f t="shared" si="0"/>
        <v>0</v>
      </c>
      <c r="N50" s="384"/>
      <c r="O50" s="384"/>
      <c r="P50" s="384"/>
      <c r="Q50" s="384"/>
      <c r="R50" s="384"/>
    </row>
    <row r="51" spans="3:18" ht="49.95" customHeight="1" x14ac:dyDescent="0.25">
      <c r="C51" s="381"/>
      <c r="D51" s="342"/>
      <c r="E51" s="342"/>
      <c r="F51" s="343"/>
      <c r="G51" s="404" t="str" cm="1">
        <f t="array" ref="G51">IFERROR(_xlfn.IFS(E51=Material.Biblioteca.Minergie[[#Headers],[Material.Biblioteca.Minergie]],VLOOKUP(F51,BIBLIOTECA.MINERGIE[#All],4,0),E51=Material.Biblioteca.Personal[[#Headers],[Material.Biblioteca.Personal]],VLOOKUP(F51,BIBLIOTECA.PERSONAL13[#All],4,0)),"-")</f>
        <v>-</v>
      </c>
      <c r="H51" s="404" t="str" cm="1">
        <f t="array" ref="H51">IFERROR(_xlfn.IFS(E51=Material.Biblioteca.Minergie[[#Headers],[Material.Biblioteca.Minergie]],VLOOKUP(F51,BIBLIOTECA.MINERGIE[#All],2,0),E51=Material.Biblioteca.Personal[[#Headers],[Material.Biblioteca.Personal]],VLOOKUP(F51,BIBLIOTECA.PERSONAL13[#All],2,0)),"-")</f>
        <v>-</v>
      </c>
      <c r="I51" s="404" t="str" cm="1">
        <f t="array" ref="I51">IFERROR(_xlfn.IFS(E51=Material.Biblioteca.Minergie[[#Headers],[Material.Biblioteca.Minergie]],VLOOKUP(F51,BIBLIOTECA.MINERGIE[#All],3,0),E51=Material.Biblioteca.Personal[[#Headers],[Material.Biblioteca.Personal]],VLOOKUP(F51,BIBLIOTECA.PERSONAL13[#All],3,0)),"-")</f>
        <v>-</v>
      </c>
      <c r="J51" s="382"/>
      <c r="K51" s="410">
        <f t="shared" si="0"/>
        <v>0</v>
      </c>
      <c r="N51" s="384"/>
      <c r="O51" s="384"/>
      <c r="P51" s="384"/>
      <c r="Q51" s="384"/>
      <c r="R51" s="384"/>
    </row>
    <row r="52" spans="3:18" ht="49.95" customHeight="1" x14ac:dyDescent="0.25">
      <c r="C52" s="381"/>
      <c r="D52" s="342"/>
      <c r="E52" s="342"/>
      <c r="F52" s="343"/>
      <c r="G52" s="404" t="str" cm="1">
        <f t="array" ref="G52">IFERROR(_xlfn.IFS(E52=Material.Biblioteca.Minergie[[#Headers],[Material.Biblioteca.Minergie]],VLOOKUP(F52,BIBLIOTECA.MINERGIE[#All],4,0),E52=Material.Biblioteca.Personal[[#Headers],[Material.Biblioteca.Personal]],VLOOKUP(F52,BIBLIOTECA.PERSONAL13[#All],4,0)),"-")</f>
        <v>-</v>
      </c>
      <c r="H52" s="404" t="str" cm="1">
        <f t="array" ref="H52">IFERROR(_xlfn.IFS(E52=Material.Biblioteca.Minergie[[#Headers],[Material.Biblioteca.Minergie]],VLOOKUP(F52,BIBLIOTECA.MINERGIE[#All],2,0),E52=Material.Biblioteca.Personal[[#Headers],[Material.Biblioteca.Personal]],VLOOKUP(F52,BIBLIOTECA.PERSONAL13[#All],2,0)),"-")</f>
        <v>-</v>
      </c>
      <c r="I52" s="404" t="str" cm="1">
        <f t="array" ref="I52">IFERROR(_xlfn.IFS(E52=Material.Biblioteca.Minergie[[#Headers],[Material.Biblioteca.Minergie]],VLOOKUP(F52,BIBLIOTECA.MINERGIE[#All],3,0),E52=Material.Biblioteca.Personal[[#Headers],[Material.Biblioteca.Personal]],VLOOKUP(F52,BIBLIOTECA.PERSONAL13[#All],3,0)),"-")</f>
        <v>-</v>
      </c>
      <c r="J52" s="382"/>
      <c r="K52" s="410">
        <f t="shared" si="0"/>
        <v>0</v>
      </c>
      <c r="N52" s="384"/>
      <c r="O52" s="384"/>
      <c r="P52" s="384"/>
      <c r="Q52" s="384"/>
      <c r="R52" s="384"/>
    </row>
    <row r="53" spans="3:18" ht="49.95" customHeight="1" x14ac:dyDescent="0.25">
      <c r="C53" s="381"/>
      <c r="D53" s="342"/>
      <c r="E53" s="342"/>
      <c r="F53" s="343"/>
      <c r="G53" s="404" t="str" cm="1">
        <f t="array" ref="G53">IFERROR(_xlfn.IFS(E53=Material.Biblioteca.Minergie[[#Headers],[Material.Biblioteca.Minergie]],VLOOKUP(F53,BIBLIOTECA.MINERGIE[#All],4,0),E53=Material.Biblioteca.Personal[[#Headers],[Material.Biblioteca.Personal]],VLOOKUP(F53,BIBLIOTECA.PERSONAL13[#All],4,0)),"-")</f>
        <v>-</v>
      </c>
      <c r="H53" s="404" t="str" cm="1">
        <f t="array" ref="H53">IFERROR(_xlfn.IFS(E53=Material.Biblioteca.Minergie[[#Headers],[Material.Biblioteca.Minergie]],VLOOKUP(F53,BIBLIOTECA.MINERGIE[#All],2,0),E53=Material.Biblioteca.Personal[[#Headers],[Material.Biblioteca.Personal]],VLOOKUP(F53,BIBLIOTECA.PERSONAL13[#All],2,0)),"-")</f>
        <v>-</v>
      </c>
      <c r="I53" s="404" t="str" cm="1">
        <f t="array" ref="I53">IFERROR(_xlfn.IFS(E53=Material.Biblioteca.Minergie[[#Headers],[Material.Biblioteca.Minergie]],VLOOKUP(F53,BIBLIOTECA.MINERGIE[#All],3,0),E53=Material.Biblioteca.Personal[[#Headers],[Material.Biblioteca.Personal]],VLOOKUP(F53,BIBLIOTECA.PERSONAL13[#All],3,0)),"-")</f>
        <v>-</v>
      </c>
      <c r="J53" s="382"/>
      <c r="K53" s="410">
        <f t="shared" si="0"/>
        <v>0</v>
      </c>
      <c r="N53" s="384"/>
      <c r="O53" s="384"/>
      <c r="P53" s="384"/>
      <c r="Q53" s="384"/>
      <c r="R53" s="384"/>
    </row>
    <row r="54" spans="3:18" ht="49.95" customHeight="1" x14ac:dyDescent="0.25">
      <c r="C54" s="381"/>
      <c r="D54" s="342"/>
      <c r="E54" s="342"/>
      <c r="F54" s="343"/>
      <c r="G54" s="404" t="str" cm="1">
        <f t="array" ref="G54">IFERROR(_xlfn.IFS(E54=Material.Biblioteca.Minergie[[#Headers],[Material.Biblioteca.Minergie]],VLOOKUP(F54,BIBLIOTECA.MINERGIE[#All],4,0),E54=Material.Biblioteca.Personal[[#Headers],[Material.Biblioteca.Personal]],VLOOKUP(F54,BIBLIOTECA.PERSONAL13[#All],4,0)),"-")</f>
        <v>-</v>
      </c>
      <c r="H54" s="404" t="str" cm="1">
        <f t="array" ref="H54">IFERROR(_xlfn.IFS(E54=Material.Biblioteca.Minergie[[#Headers],[Material.Biblioteca.Minergie]],VLOOKUP(F54,BIBLIOTECA.MINERGIE[#All],2,0),E54=Material.Biblioteca.Personal[[#Headers],[Material.Biblioteca.Personal]],VLOOKUP(F54,BIBLIOTECA.PERSONAL13[#All],2,0)),"-")</f>
        <v>-</v>
      </c>
      <c r="I54" s="404" t="str" cm="1">
        <f t="array" ref="I54">IFERROR(_xlfn.IFS(E54=Material.Biblioteca.Minergie[[#Headers],[Material.Biblioteca.Minergie]],VLOOKUP(F54,BIBLIOTECA.MINERGIE[#All],3,0),E54=Material.Biblioteca.Personal[[#Headers],[Material.Biblioteca.Personal]],VLOOKUP(F54,BIBLIOTECA.PERSONAL13[#All],3,0)),"-")</f>
        <v>-</v>
      </c>
      <c r="J54" s="382"/>
      <c r="K54" s="410">
        <f t="shared" si="0"/>
        <v>0</v>
      </c>
    </row>
    <row r="55" spans="3:18" ht="49.95" customHeight="1" x14ac:dyDescent="0.25">
      <c r="C55" s="381"/>
      <c r="D55" s="342"/>
      <c r="E55" s="342"/>
      <c r="F55" s="343"/>
      <c r="G55" s="404" t="str" cm="1">
        <f t="array" ref="G55">IFERROR(_xlfn.IFS(E55=Material.Biblioteca.Minergie[[#Headers],[Material.Biblioteca.Minergie]],VLOOKUP(F55,BIBLIOTECA.MINERGIE[#All],4,0),E55=Material.Biblioteca.Personal[[#Headers],[Material.Biblioteca.Personal]],VLOOKUP(F55,BIBLIOTECA.PERSONAL13[#All],4,0)),"-")</f>
        <v>-</v>
      </c>
      <c r="H55" s="404" t="str" cm="1">
        <f t="array" ref="H55">IFERROR(_xlfn.IFS(E55=Material.Biblioteca.Minergie[[#Headers],[Material.Biblioteca.Minergie]],VLOOKUP(F55,BIBLIOTECA.MINERGIE[#All],2,0),E55=Material.Biblioteca.Personal[[#Headers],[Material.Biblioteca.Personal]],VLOOKUP(F55,BIBLIOTECA.PERSONAL13[#All],2,0)),"-")</f>
        <v>-</v>
      </c>
      <c r="I55" s="404" t="str" cm="1">
        <f t="array" ref="I55">IFERROR(_xlfn.IFS(E55=Material.Biblioteca.Minergie[[#Headers],[Material.Biblioteca.Minergie]],VLOOKUP(F55,BIBLIOTECA.MINERGIE[#All],3,0),E55=Material.Biblioteca.Personal[[#Headers],[Material.Biblioteca.Personal]],VLOOKUP(F55,BIBLIOTECA.PERSONAL13[#All],3,0)),"-")</f>
        <v>-</v>
      </c>
      <c r="J55" s="382"/>
      <c r="K55" s="410">
        <f t="shared" si="0"/>
        <v>0</v>
      </c>
    </row>
    <row r="56" spans="3:18" ht="49.95" customHeight="1" x14ac:dyDescent="0.25">
      <c r="C56" s="381"/>
      <c r="D56" s="342"/>
      <c r="E56" s="342"/>
      <c r="F56" s="343"/>
      <c r="G56" s="404" t="str" cm="1">
        <f t="array" ref="G56">IFERROR(_xlfn.IFS(E56=Material.Biblioteca.Minergie[[#Headers],[Material.Biblioteca.Minergie]],VLOOKUP(F56,BIBLIOTECA.MINERGIE[#All],4,0),E56=Material.Biblioteca.Personal[[#Headers],[Material.Biblioteca.Personal]],VLOOKUP(F56,BIBLIOTECA.PERSONAL13[#All],4,0)),"-")</f>
        <v>-</v>
      </c>
      <c r="H56" s="404" t="str" cm="1">
        <f t="array" ref="H56">IFERROR(_xlfn.IFS(E56=Material.Biblioteca.Minergie[[#Headers],[Material.Biblioteca.Minergie]],VLOOKUP(F56,BIBLIOTECA.MINERGIE[#All],2,0),E56=Material.Biblioteca.Personal[[#Headers],[Material.Biblioteca.Personal]],VLOOKUP(F56,BIBLIOTECA.PERSONAL13[#All],2,0)),"-")</f>
        <v>-</v>
      </c>
      <c r="I56" s="404" t="str" cm="1">
        <f t="array" ref="I56">IFERROR(_xlfn.IFS(E56=Material.Biblioteca.Minergie[[#Headers],[Material.Biblioteca.Minergie]],VLOOKUP(F56,BIBLIOTECA.MINERGIE[#All],3,0),E56=Material.Biblioteca.Personal[[#Headers],[Material.Biblioteca.Personal]],VLOOKUP(F56,BIBLIOTECA.PERSONAL13[#All],3,0)),"-")</f>
        <v>-</v>
      </c>
      <c r="J56" s="382"/>
      <c r="K56" s="410">
        <f t="shared" si="0"/>
        <v>0</v>
      </c>
    </row>
    <row r="57" spans="3:18" ht="49.95" customHeight="1" x14ac:dyDescent="0.25">
      <c r="C57" s="381"/>
      <c r="D57" s="342"/>
      <c r="E57" s="342"/>
      <c r="F57" s="343"/>
      <c r="G57" s="404" t="str" cm="1">
        <f t="array" ref="G57">IFERROR(_xlfn.IFS(E57=Material.Biblioteca.Minergie[[#Headers],[Material.Biblioteca.Minergie]],VLOOKUP(F57,BIBLIOTECA.MINERGIE[#All],4,0),E57=Material.Biblioteca.Personal[[#Headers],[Material.Biblioteca.Personal]],VLOOKUP(F57,BIBLIOTECA.PERSONAL13[#All],4,0)),"-")</f>
        <v>-</v>
      </c>
      <c r="H57" s="404" t="str" cm="1">
        <f t="array" ref="H57">IFERROR(_xlfn.IFS(E57=Material.Biblioteca.Minergie[[#Headers],[Material.Biblioteca.Minergie]],VLOOKUP(F57,BIBLIOTECA.MINERGIE[#All],2,0),E57=Material.Biblioteca.Personal[[#Headers],[Material.Biblioteca.Personal]],VLOOKUP(F57,BIBLIOTECA.PERSONAL13[#All],2,0)),"-")</f>
        <v>-</v>
      </c>
      <c r="I57" s="404" t="str" cm="1">
        <f t="array" ref="I57">IFERROR(_xlfn.IFS(E57=Material.Biblioteca.Minergie[[#Headers],[Material.Biblioteca.Minergie]],VLOOKUP(F57,BIBLIOTECA.MINERGIE[#All],3,0),E57=Material.Biblioteca.Personal[[#Headers],[Material.Biblioteca.Personal]],VLOOKUP(F57,BIBLIOTECA.PERSONAL13[#All],3,0)),"-")</f>
        <v>-</v>
      </c>
      <c r="J57" s="382"/>
      <c r="K57" s="410">
        <f t="shared" si="0"/>
        <v>0</v>
      </c>
    </row>
    <row r="58" spans="3:18" ht="49.95" customHeight="1" x14ac:dyDescent="0.25">
      <c r="C58" s="381"/>
      <c r="D58" s="342"/>
      <c r="E58" s="342"/>
      <c r="F58" s="343"/>
      <c r="G58" s="404" t="str" cm="1">
        <f t="array" ref="G58">IFERROR(_xlfn.IFS(E58=Material.Biblioteca.Minergie[[#Headers],[Material.Biblioteca.Minergie]],VLOOKUP(F58,BIBLIOTECA.MINERGIE[#All],4,0),E58=Material.Biblioteca.Personal[[#Headers],[Material.Biblioteca.Personal]],VLOOKUP(F58,BIBLIOTECA.PERSONAL13[#All],4,0)),"-")</f>
        <v>-</v>
      </c>
      <c r="H58" s="404" t="str" cm="1">
        <f t="array" ref="H58">IFERROR(_xlfn.IFS(E58=Material.Biblioteca.Minergie[[#Headers],[Material.Biblioteca.Minergie]],VLOOKUP(F58,BIBLIOTECA.MINERGIE[#All],2,0),E58=Material.Biblioteca.Personal[[#Headers],[Material.Biblioteca.Personal]],VLOOKUP(F58,BIBLIOTECA.PERSONAL13[#All],2,0)),"-")</f>
        <v>-</v>
      </c>
      <c r="I58" s="404" t="str" cm="1">
        <f t="array" ref="I58">IFERROR(_xlfn.IFS(E58=Material.Biblioteca.Minergie[[#Headers],[Material.Biblioteca.Minergie]],VLOOKUP(F58,BIBLIOTECA.MINERGIE[#All],3,0),E58=Material.Biblioteca.Personal[[#Headers],[Material.Biblioteca.Personal]],VLOOKUP(F58,BIBLIOTECA.PERSONAL13[#All],3,0)),"-")</f>
        <v>-</v>
      </c>
      <c r="J58" s="382"/>
      <c r="K58" s="410">
        <f t="shared" si="0"/>
        <v>0</v>
      </c>
    </row>
    <row r="59" spans="3:18" ht="49.95" customHeight="1" x14ac:dyDescent="0.25">
      <c r="C59" s="381"/>
      <c r="D59" s="342"/>
      <c r="E59" s="342"/>
      <c r="F59" s="343"/>
      <c r="G59" s="404" t="str" cm="1">
        <f t="array" ref="G59">IFERROR(_xlfn.IFS(E59=Material.Biblioteca.Minergie[[#Headers],[Material.Biblioteca.Minergie]],VLOOKUP(F59,BIBLIOTECA.MINERGIE[#All],4,0),E59=Material.Biblioteca.Personal[[#Headers],[Material.Biblioteca.Personal]],VLOOKUP(F59,BIBLIOTECA.PERSONAL13[#All],4,0)),"-")</f>
        <v>-</v>
      </c>
      <c r="H59" s="404" t="str" cm="1">
        <f t="array" ref="H59">IFERROR(_xlfn.IFS(E59=Material.Biblioteca.Minergie[[#Headers],[Material.Biblioteca.Minergie]],VLOOKUP(F59,BIBLIOTECA.MINERGIE[#All],2,0),E59=Material.Biblioteca.Personal[[#Headers],[Material.Biblioteca.Personal]],VLOOKUP(F59,BIBLIOTECA.PERSONAL13[#All],2,0)),"-")</f>
        <v>-</v>
      </c>
      <c r="I59" s="404" t="str" cm="1">
        <f t="array" ref="I59">IFERROR(_xlfn.IFS(E59=Material.Biblioteca.Minergie[[#Headers],[Material.Biblioteca.Minergie]],VLOOKUP(F59,BIBLIOTECA.MINERGIE[#All],3,0),E59=Material.Biblioteca.Personal[[#Headers],[Material.Biblioteca.Personal]],VLOOKUP(F59,BIBLIOTECA.PERSONAL13[#All],3,0)),"-")</f>
        <v>-</v>
      </c>
      <c r="J59" s="382"/>
      <c r="K59" s="410">
        <f t="shared" si="0"/>
        <v>0</v>
      </c>
    </row>
    <row r="60" spans="3:18" ht="49.95" customHeight="1" x14ac:dyDescent="0.25">
      <c r="C60" s="381"/>
      <c r="D60" s="342"/>
      <c r="E60" s="342"/>
      <c r="F60" s="343"/>
      <c r="G60" s="404" t="str" cm="1">
        <f t="array" ref="G60">IFERROR(_xlfn.IFS(E60=Material.Biblioteca.Minergie[[#Headers],[Material.Biblioteca.Minergie]],VLOOKUP(F60,BIBLIOTECA.MINERGIE[#All],4,0),E60=Material.Biblioteca.Personal[[#Headers],[Material.Biblioteca.Personal]],VLOOKUP(F60,BIBLIOTECA.PERSONAL13[#All],4,0)),"-")</f>
        <v>-</v>
      </c>
      <c r="H60" s="404" t="str" cm="1">
        <f t="array" ref="H60">IFERROR(_xlfn.IFS(E60=Material.Biblioteca.Minergie[[#Headers],[Material.Biblioteca.Minergie]],VLOOKUP(F60,BIBLIOTECA.MINERGIE[#All],2,0),E60=Material.Biblioteca.Personal[[#Headers],[Material.Biblioteca.Personal]],VLOOKUP(F60,BIBLIOTECA.PERSONAL13[#All],2,0)),"-")</f>
        <v>-</v>
      </c>
      <c r="I60" s="404" t="str" cm="1">
        <f t="array" ref="I60">IFERROR(_xlfn.IFS(E60=Material.Biblioteca.Minergie[[#Headers],[Material.Biblioteca.Minergie]],VLOOKUP(F60,BIBLIOTECA.MINERGIE[#All],3,0),E60=Material.Biblioteca.Personal[[#Headers],[Material.Biblioteca.Personal]],VLOOKUP(F60,BIBLIOTECA.PERSONAL13[#All],3,0)),"-")</f>
        <v>-</v>
      </c>
      <c r="J60" s="382"/>
      <c r="K60" s="410">
        <f t="shared" si="0"/>
        <v>0</v>
      </c>
    </row>
    <row r="61" spans="3:18" ht="49.95" customHeight="1" x14ac:dyDescent="0.25">
      <c r="C61" s="381"/>
      <c r="D61" s="342"/>
      <c r="E61" s="342"/>
      <c r="F61" s="343"/>
      <c r="G61" s="404" t="str" cm="1">
        <f t="array" ref="G61">IFERROR(_xlfn.IFS(E61=Material.Biblioteca.Minergie[[#Headers],[Material.Biblioteca.Minergie]],VLOOKUP(F61,BIBLIOTECA.MINERGIE[#All],4,0),E61=Material.Biblioteca.Personal[[#Headers],[Material.Biblioteca.Personal]],VLOOKUP(F61,BIBLIOTECA.PERSONAL13[#All],4,0)),"-")</f>
        <v>-</v>
      </c>
      <c r="H61" s="404" t="str" cm="1">
        <f t="array" ref="H61">IFERROR(_xlfn.IFS(E61=Material.Biblioteca.Minergie[[#Headers],[Material.Biblioteca.Minergie]],VLOOKUP(F61,BIBLIOTECA.MINERGIE[#All],2,0),E61=Material.Biblioteca.Personal[[#Headers],[Material.Biblioteca.Personal]],VLOOKUP(F61,BIBLIOTECA.PERSONAL13[#All],2,0)),"-")</f>
        <v>-</v>
      </c>
      <c r="I61" s="404" t="str" cm="1">
        <f t="array" ref="I61">IFERROR(_xlfn.IFS(E61=Material.Biblioteca.Minergie[[#Headers],[Material.Biblioteca.Minergie]],VLOOKUP(F61,BIBLIOTECA.MINERGIE[#All],3,0),E61=Material.Biblioteca.Personal[[#Headers],[Material.Biblioteca.Personal]],VLOOKUP(F61,BIBLIOTECA.PERSONAL13[#All],3,0)),"-")</f>
        <v>-</v>
      </c>
      <c r="J61" s="382"/>
      <c r="K61" s="410">
        <f t="shared" si="0"/>
        <v>0</v>
      </c>
    </row>
    <row r="62" spans="3:18" ht="13.8" thickBot="1" x14ac:dyDescent="0.3">
      <c r="C62" s="638"/>
      <c r="D62" s="364"/>
      <c r="E62" s="355"/>
      <c r="F62" s="355"/>
      <c r="G62" s="355"/>
      <c r="H62" s="357"/>
      <c r="I62" s="357"/>
      <c r="J62" s="355"/>
      <c r="K62" s="411">
        <f>SUM(K25:K61)</f>
        <v>0</v>
      </c>
    </row>
    <row r="63" spans="3:18" ht="24.6" customHeight="1" thickBot="1" x14ac:dyDescent="0.3">
      <c r="C63" s="1103" t="s">
        <v>422</v>
      </c>
      <c r="D63" s="1104"/>
      <c r="E63" s="1104"/>
      <c r="F63" s="1104"/>
      <c r="G63" s="1104"/>
      <c r="H63" s="1104"/>
      <c r="I63" s="1104"/>
      <c r="J63" s="639"/>
      <c r="K63" s="410">
        <f>IFERROR(K62/D4,0)</f>
        <v>0</v>
      </c>
    </row>
    <row r="64" spans="3:18" ht="21.6" customHeight="1" thickBot="1" x14ac:dyDescent="0.3">
      <c r="C64" s="1073" t="s">
        <v>423</v>
      </c>
      <c r="D64" s="1074"/>
      <c r="E64" s="1074"/>
      <c r="F64" s="1074"/>
      <c r="G64" s="1074"/>
      <c r="H64" s="1074"/>
      <c r="I64" s="1074"/>
      <c r="J64" s="639"/>
      <c r="K64" s="410">
        <f>IFERROR((K62/D4)/D5,0)</f>
        <v>0</v>
      </c>
    </row>
    <row r="66" spans="3:5" x14ac:dyDescent="0.25">
      <c r="C66" s="625" t="s">
        <v>424</v>
      </c>
      <c r="D66" s="626" t="s">
        <v>425</v>
      </c>
      <c r="E66" s="28"/>
    </row>
    <row r="67" spans="3:5" x14ac:dyDescent="0.25">
      <c r="C67" s="627" t="s">
        <v>401</v>
      </c>
      <c r="D67" s="628">
        <f>IFERROR(D72/D74,0)</f>
        <v>0</v>
      </c>
      <c r="E67" s="629"/>
    </row>
    <row r="68" spans="3:5" x14ac:dyDescent="0.25">
      <c r="C68" s="630" t="s">
        <v>426</v>
      </c>
      <c r="D68" s="631">
        <f>IFERROR(D73/D74,0)</f>
        <v>0</v>
      </c>
      <c r="E68" s="632"/>
    </row>
    <row r="69" spans="3:5" x14ac:dyDescent="0.25">
      <c r="C69" s="633" t="s">
        <v>427</v>
      </c>
      <c r="D69" s="634">
        <f>SUM(D67:D68)</f>
        <v>0</v>
      </c>
      <c r="E69" s="635"/>
    </row>
    <row r="70" spans="3:5" x14ac:dyDescent="0.25">
      <c r="C70" s="15"/>
      <c r="D70" s="15"/>
      <c r="E70"/>
    </row>
    <row r="71" spans="3:5" x14ac:dyDescent="0.25">
      <c r="C71" s="625" t="s">
        <v>424</v>
      </c>
      <c r="D71" s="626" t="s">
        <v>428</v>
      </c>
      <c r="E71" s="28"/>
    </row>
    <row r="72" spans="3:5" x14ac:dyDescent="0.25">
      <c r="C72" s="633" t="s">
        <v>401</v>
      </c>
      <c r="D72" s="385">
        <f>G20</f>
        <v>0</v>
      </c>
      <c r="E72" s="386"/>
    </row>
    <row r="73" spans="3:5" x14ac:dyDescent="0.25">
      <c r="C73" s="636" t="s">
        <v>426</v>
      </c>
      <c r="D73" s="387">
        <f>K64</f>
        <v>0</v>
      </c>
      <c r="E73" s="386"/>
    </row>
    <row r="74" spans="3:5" x14ac:dyDescent="0.25">
      <c r="C74" s="633" t="s">
        <v>427</v>
      </c>
      <c r="D74" s="637">
        <f>SUM(D72:D73)</f>
        <v>0</v>
      </c>
      <c r="E74" s="388"/>
    </row>
    <row r="76" spans="3:5" x14ac:dyDescent="0.25">
      <c r="C76" s="780" t="s">
        <v>429</v>
      </c>
      <c r="D76" s="780"/>
      <c r="E76" s="617"/>
    </row>
    <row r="77" spans="3:5" x14ac:dyDescent="0.25">
      <c r="C77" s="780"/>
      <c r="D77" s="780"/>
      <c r="E77" s="617"/>
    </row>
    <row r="78" spans="3:5" x14ac:dyDescent="0.25">
      <c r="C78" s="780"/>
      <c r="D78" s="780"/>
      <c r="E78" s="617"/>
    </row>
    <row r="79" spans="3:5" x14ac:dyDescent="0.25">
      <c r="C79" s="780"/>
      <c r="D79" s="780"/>
      <c r="E79" s="617"/>
    </row>
    <row r="80" spans="3:5" x14ac:dyDescent="0.25">
      <c r="C80" s="780"/>
      <c r="D80" s="780"/>
      <c r="E80" s="617"/>
    </row>
    <row r="81" spans="3:13" x14ac:dyDescent="0.25">
      <c r="C81" s="780"/>
      <c r="D81" s="780"/>
      <c r="E81" s="617"/>
    </row>
    <row r="91" spans="3:13" ht="24.45" customHeight="1" thickBot="1" x14ac:dyDescent="0.3">
      <c r="C91" s="596" t="s">
        <v>430</v>
      </c>
      <c r="D91" s="364"/>
      <c r="E91" s="355"/>
      <c r="F91" s="355"/>
      <c r="G91" s="355"/>
      <c r="H91" s="640">
        <f ca="1">TODAY()</f>
        <v>45198</v>
      </c>
      <c r="K91" s="600" t="s">
        <v>431</v>
      </c>
      <c r="L91" s="364"/>
      <c r="M91" s="355"/>
    </row>
    <row r="92" spans="3:13" x14ac:dyDescent="0.25">
      <c r="C92" s="597" t="s">
        <v>432</v>
      </c>
      <c r="D92" s="597" t="s">
        <v>415</v>
      </c>
      <c r="E92" s="598" t="s">
        <v>433</v>
      </c>
      <c r="F92" s="598" t="s">
        <v>414</v>
      </c>
      <c r="G92" s="598" t="s">
        <v>434</v>
      </c>
      <c r="H92" s="599" t="s">
        <v>435</v>
      </c>
      <c r="K92" s="601" t="s">
        <v>436</v>
      </c>
      <c r="L92" s="601" t="s">
        <v>437</v>
      </c>
      <c r="M92" s="602" t="s">
        <v>348</v>
      </c>
    </row>
    <row r="93" spans="3:13" x14ac:dyDescent="0.25">
      <c r="C93" s="375" t="s">
        <v>438</v>
      </c>
      <c r="D93" s="350"/>
      <c r="E93" s="389"/>
      <c r="F93" s="389"/>
      <c r="G93" s="390"/>
      <c r="H93" s="391">
        <f ca="1">BIBLIOTECA.PERSONAL13[[#This Row],[Fecha Caducidad]]-$H$91</f>
        <v>-45198</v>
      </c>
      <c r="K93" s="375" t="s">
        <v>439</v>
      </c>
      <c r="L93" s="350">
        <v>0.435</v>
      </c>
      <c r="M93" s="392"/>
    </row>
    <row r="94" spans="3:13" x14ac:dyDescent="0.25">
      <c r="C94" s="375"/>
      <c r="D94" s="350"/>
      <c r="E94" s="389"/>
      <c r="F94" s="389"/>
      <c r="G94" s="392"/>
      <c r="H94" s="391">
        <f ca="1">BIBLIOTECA.PERSONAL13[[#This Row],[Fecha Caducidad]]-$H$91</f>
        <v>-45198</v>
      </c>
      <c r="K94" s="375" t="s">
        <v>440</v>
      </c>
      <c r="L94" s="393">
        <v>0.53690000000000004</v>
      </c>
      <c r="M94" s="394"/>
    </row>
    <row r="95" spans="3:13" x14ac:dyDescent="0.25">
      <c r="C95" s="375"/>
      <c r="D95" s="350"/>
      <c r="E95" s="389"/>
      <c r="F95" s="389"/>
      <c r="G95" s="392"/>
      <c r="H95" s="391">
        <f ca="1">BIBLIOTECA.PERSONAL13[[#This Row],[Fecha Caducidad]]-$H$91</f>
        <v>-45198</v>
      </c>
      <c r="K95" s="375"/>
      <c r="L95" s="350"/>
      <c r="M95" s="392"/>
    </row>
    <row r="96" spans="3:13" x14ac:dyDescent="0.25">
      <c r="C96" s="375"/>
      <c r="D96" s="350"/>
      <c r="E96" s="389"/>
      <c r="F96" s="389"/>
      <c r="G96" s="392"/>
      <c r="H96" s="391">
        <f ca="1">BIBLIOTECA.PERSONAL13[[#This Row],[Fecha Caducidad]]-$H$91</f>
        <v>-45198</v>
      </c>
      <c r="K96" s="375"/>
      <c r="L96" s="350"/>
      <c r="M96" s="392"/>
    </row>
    <row r="97" spans="3:13" x14ac:dyDescent="0.25">
      <c r="C97" s="375"/>
      <c r="D97" s="393"/>
      <c r="E97" s="396"/>
      <c r="F97" s="396"/>
      <c r="G97" s="394"/>
      <c r="H97" s="391">
        <f ca="1">BIBLIOTECA.PERSONAL13[[#This Row],[Fecha Caducidad]]-$H$91</f>
        <v>-45198</v>
      </c>
      <c r="K97" s="375"/>
      <c r="L97" s="350"/>
      <c r="M97" s="392"/>
    </row>
    <row r="98" spans="3:13" x14ac:dyDescent="0.25">
      <c r="C98" s="375"/>
      <c r="D98" s="393"/>
      <c r="E98" s="396"/>
      <c r="F98" s="396"/>
      <c r="G98" s="394"/>
      <c r="H98" s="391">
        <f ca="1">BIBLIOTECA.PERSONAL13[[#This Row],[Fecha Caducidad]]-$H$91</f>
        <v>-45198</v>
      </c>
      <c r="K98" s="375"/>
      <c r="L98" s="350"/>
      <c r="M98" s="392"/>
    </row>
    <row r="99" spans="3:13" x14ac:dyDescent="0.25">
      <c r="C99" s="375"/>
      <c r="D99" s="393"/>
      <c r="E99" s="396"/>
      <c r="F99" s="396"/>
      <c r="G99" s="394"/>
      <c r="H99" s="391">
        <f ca="1">BIBLIOTECA.PERSONAL13[[#This Row],[Fecha Caducidad]]-$H$91</f>
        <v>-45198</v>
      </c>
      <c r="K99" s="395"/>
      <c r="L99" s="393"/>
      <c r="M99" s="394"/>
    </row>
    <row r="100" spans="3:13" x14ac:dyDescent="0.25">
      <c r="C100" s="375"/>
      <c r="D100" s="350"/>
      <c r="E100" s="389"/>
      <c r="F100" s="389"/>
      <c r="G100" s="394"/>
      <c r="H100" s="391">
        <f ca="1">BIBLIOTECA.PERSONAL13[[#This Row],[Fecha Caducidad]]-$H$91</f>
        <v>-45198</v>
      </c>
      <c r="K100" s="395"/>
      <c r="L100" s="393"/>
      <c r="M100" s="394"/>
    </row>
    <row r="101" spans="3:13" x14ac:dyDescent="0.25">
      <c r="C101" s="375"/>
      <c r="D101" s="350"/>
      <c r="E101" s="389"/>
      <c r="F101" s="389"/>
      <c r="G101" s="413"/>
      <c r="H101" s="391">
        <f ca="1">BIBLIOTECA.PERSONAL13[[#This Row],[Fecha Caducidad]]-$H$91</f>
        <v>-45198</v>
      </c>
    </row>
    <row r="102" spans="3:13" x14ac:dyDescent="0.25">
      <c r="C102" s="375"/>
      <c r="D102" s="350"/>
      <c r="E102" s="389"/>
      <c r="F102" s="389"/>
      <c r="G102" s="413"/>
      <c r="H102" s="391">
        <f ca="1">BIBLIOTECA.PERSONAL13[[#This Row],[Fecha Caducidad]]-$H$91</f>
        <v>-45198</v>
      </c>
    </row>
    <row r="103" spans="3:13" x14ac:dyDescent="0.25">
      <c r="C103" s="375"/>
      <c r="D103" s="350"/>
      <c r="E103" s="389"/>
      <c r="F103" s="389"/>
      <c r="G103" s="413"/>
      <c r="H103" s="391">
        <f ca="1">BIBLIOTECA.PERSONAL13[[#This Row],[Fecha Caducidad]]-$H$91</f>
        <v>-45198</v>
      </c>
    </row>
    <row r="104" spans="3:13" x14ac:dyDescent="0.25">
      <c r="C104" s="375"/>
      <c r="D104" s="350"/>
      <c r="E104" s="389"/>
      <c r="F104" s="389"/>
      <c r="G104" s="413"/>
      <c r="H104" s="391">
        <f ca="1">BIBLIOTECA.PERSONAL13[[#This Row],[Fecha Caducidad]]-$H$91</f>
        <v>-45198</v>
      </c>
    </row>
    <row r="105" spans="3:13" x14ac:dyDescent="0.25">
      <c r="C105" s="375"/>
      <c r="D105" s="350"/>
      <c r="E105" s="389"/>
      <c r="F105" s="389"/>
      <c r="G105" s="413"/>
      <c r="H105" s="391">
        <f ca="1">BIBLIOTECA.PERSONAL13[[#This Row],[Fecha Caducidad]]-$H$91</f>
        <v>-45198</v>
      </c>
    </row>
    <row r="106" spans="3:13" x14ac:dyDescent="0.25">
      <c r="C106" s="375"/>
      <c r="D106" s="350"/>
      <c r="E106" s="389"/>
      <c r="F106" s="389"/>
      <c r="G106" s="413"/>
      <c r="H106" s="391">
        <f ca="1">BIBLIOTECA.PERSONAL13[[#This Row],[Fecha Caducidad]]-$H$91</f>
        <v>-45198</v>
      </c>
    </row>
    <row r="107" spans="3:13" x14ac:dyDescent="0.25">
      <c r="C107" s="375"/>
      <c r="D107" s="350"/>
      <c r="E107" s="389"/>
      <c r="F107" s="389"/>
      <c r="G107" s="413"/>
      <c r="H107" s="391">
        <f ca="1">BIBLIOTECA.PERSONAL13[[#This Row],[Fecha Caducidad]]-$H$91</f>
        <v>-45198</v>
      </c>
    </row>
    <row r="108" spans="3:13" x14ac:dyDescent="0.25">
      <c r="C108" s="375"/>
      <c r="D108" s="350"/>
      <c r="E108" s="389"/>
      <c r="F108" s="389"/>
      <c r="G108" s="413"/>
      <c r="H108" s="391">
        <f ca="1">BIBLIOTECA.PERSONAL13[[#This Row],[Fecha Caducidad]]-$H$91</f>
        <v>-45198</v>
      </c>
    </row>
    <row r="109" spans="3:13" x14ac:dyDescent="0.25">
      <c r="C109" s="375"/>
      <c r="D109" s="350"/>
      <c r="E109" s="389"/>
      <c r="F109" s="389"/>
      <c r="G109" s="413"/>
      <c r="H109" s="391">
        <f ca="1">BIBLIOTECA.PERSONAL13[[#This Row],[Fecha Caducidad]]-$H$91</f>
        <v>-45198</v>
      </c>
    </row>
    <row r="110" spans="3:13" x14ac:dyDescent="0.25">
      <c r="C110" s="375"/>
      <c r="D110" s="350"/>
      <c r="E110" s="389"/>
      <c r="F110" s="389"/>
      <c r="G110" s="413"/>
      <c r="H110" s="391">
        <f ca="1">BIBLIOTECA.PERSONAL13[[#This Row],[Fecha Caducidad]]-$H$91</f>
        <v>-45198</v>
      </c>
    </row>
    <row r="111" spans="3:13" x14ac:dyDescent="0.25">
      <c r="C111" s="395"/>
      <c r="D111" s="393"/>
      <c r="E111" s="396"/>
      <c r="F111" s="396"/>
      <c r="G111" s="413"/>
      <c r="H111" s="391">
        <f ca="1">BIBLIOTECA.PERSONAL13[[#This Row],[Fecha Caducidad]]-$H$91</f>
        <v>-45198</v>
      </c>
    </row>
    <row r="112" spans="3:13" x14ac:dyDescent="0.25">
      <c r="C112" s="375"/>
      <c r="D112" s="350"/>
      <c r="E112" s="389"/>
      <c r="F112" s="389"/>
      <c r="G112" s="394"/>
      <c r="H112" s="391">
        <f ca="1">BIBLIOTECA.PERSONAL13[[#This Row],[Fecha Caducidad]]-$H$91</f>
        <v>-45198</v>
      </c>
    </row>
    <row r="113" spans="3:8" x14ac:dyDescent="0.25">
      <c r="C113" s="375"/>
      <c r="D113" s="350"/>
      <c r="E113" s="389"/>
      <c r="F113" s="389"/>
      <c r="G113" s="413"/>
      <c r="H113" s="391">
        <f ca="1">BIBLIOTECA.PERSONAL13[[#This Row],[Fecha Caducidad]]-$H$91</f>
        <v>-45198</v>
      </c>
    </row>
    <row r="114" spans="3:8" x14ac:dyDescent="0.25">
      <c r="C114" s="375"/>
      <c r="D114" s="350"/>
      <c r="E114" s="389"/>
      <c r="F114" s="389"/>
      <c r="G114" s="413"/>
      <c r="H114" s="391">
        <f ca="1">BIBLIOTECA.PERSONAL13[[#This Row],[Fecha Caducidad]]-$H$91</f>
        <v>-45198</v>
      </c>
    </row>
    <row r="115" spans="3:8" x14ac:dyDescent="0.25">
      <c r="C115" s="375"/>
      <c r="D115" s="350"/>
      <c r="E115" s="389"/>
      <c r="F115" s="389"/>
      <c r="G115" s="413"/>
      <c r="H115" s="391">
        <f ca="1">BIBLIOTECA.PERSONAL13[[#This Row],[Fecha Caducidad]]-$H$91</f>
        <v>-45198</v>
      </c>
    </row>
    <row r="116" spans="3:8" x14ac:dyDescent="0.25">
      <c r="C116" s="375"/>
      <c r="D116" s="350"/>
      <c r="E116" s="389"/>
      <c r="F116" s="389"/>
      <c r="G116" s="413"/>
      <c r="H116" s="391">
        <f ca="1">BIBLIOTECA.PERSONAL13[[#This Row],[Fecha Caducidad]]-$H$91</f>
        <v>-45198</v>
      </c>
    </row>
    <row r="117" spans="3:8" x14ac:dyDescent="0.25">
      <c r="C117" s="375"/>
      <c r="D117" s="350"/>
      <c r="E117" s="389"/>
      <c r="F117" s="389"/>
      <c r="G117" s="413"/>
      <c r="H117" s="391">
        <f ca="1">BIBLIOTECA.PERSONAL13[[#This Row],[Fecha Caducidad]]-$H$91</f>
        <v>-45198</v>
      </c>
    </row>
    <row r="118" spans="3:8" x14ac:dyDescent="0.25">
      <c r="C118" s="375"/>
      <c r="D118" s="350"/>
      <c r="E118" s="389"/>
      <c r="F118" s="389"/>
      <c r="G118" s="413"/>
      <c r="H118" s="391">
        <f ca="1">BIBLIOTECA.PERSONAL13[[#This Row],[Fecha Caducidad]]-$H$91</f>
        <v>-45198</v>
      </c>
    </row>
    <row r="119" spans="3:8" x14ac:dyDescent="0.25">
      <c r="C119" s="375"/>
      <c r="D119" s="350"/>
      <c r="E119" s="389"/>
      <c r="F119" s="389"/>
      <c r="G119" s="413"/>
      <c r="H119" s="391">
        <f ca="1">BIBLIOTECA.PERSONAL13[[#This Row],[Fecha Caducidad]]-$H$91</f>
        <v>-45198</v>
      </c>
    </row>
    <row r="120" spans="3:8" x14ac:dyDescent="0.25">
      <c r="C120" s="375"/>
      <c r="D120" s="350"/>
      <c r="E120" s="389"/>
      <c r="F120" s="389"/>
      <c r="G120" s="413"/>
      <c r="H120" s="391">
        <f ca="1">BIBLIOTECA.PERSONAL13[[#This Row],[Fecha Caducidad]]-$H$91</f>
        <v>-45198</v>
      </c>
    </row>
    <row r="121" spans="3:8" x14ac:dyDescent="0.25">
      <c r="C121" s="375"/>
      <c r="D121" s="350"/>
      <c r="E121" s="389"/>
      <c r="F121" s="389"/>
      <c r="G121" s="413"/>
      <c r="H121" s="391">
        <f ca="1">BIBLIOTECA.PERSONAL13[[#This Row],[Fecha Caducidad]]-$H$91</f>
        <v>-45198</v>
      </c>
    </row>
    <row r="122" spans="3:8" x14ac:dyDescent="0.25">
      <c r="C122" s="375"/>
      <c r="D122" s="350"/>
      <c r="E122" s="389"/>
      <c r="F122" s="389"/>
      <c r="G122" s="413"/>
      <c r="H122" s="391">
        <f ca="1">BIBLIOTECA.PERSONAL13[[#This Row],[Fecha Caducidad]]-$H$91</f>
        <v>-45198</v>
      </c>
    </row>
    <row r="123" spans="3:8" x14ac:dyDescent="0.25">
      <c r="C123" s="375"/>
      <c r="D123" s="350"/>
      <c r="E123" s="389"/>
      <c r="F123" s="389"/>
      <c r="G123" s="413"/>
      <c r="H123" s="391">
        <f ca="1">BIBLIOTECA.PERSONAL13[[#This Row],[Fecha Caducidad]]-$H$91</f>
        <v>-45198</v>
      </c>
    </row>
    <row r="124" spans="3:8" x14ac:dyDescent="0.25">
      <c r="C124" s="375"/>
      <c r="D124" s="350"/>
      <c r="E124" s="389"/>
      <c r="F124" s="389"/>
      <c r="G124" s="413"/>
      <c r="H124" s="391">
        <f ca="1">BIBLIOTECA.PERSONAL13[[#This Row],[Fecha Caducidad]]-$H$91</f>
        <v>-45198</v>
      </c>
    </row>
    <row r="125" spans="3:8" x14ac:dyDescent="0.25">
      <c r="C125" s="375"/>
      <c r="D125" s="350"/>
      <c r="E125" s="389"/>
      <c r="F125" s="389"/>
      <c r="G125" s="413"/>
      <c r="H125" s="391">
        <f ca="1">BIBLIOTECA.PERSONAL13[[#This Row],[Fecha Caducidad]]-$H$91</f>
        <v>-45198</v>
      </c>
    </row>
    <row r="126" spans="3:8" x14ac:dyDescent="0.25">
      <c r="C126" s="395"/>
      <c r="D126" s="393"/>
      <c r="E126" s="396"/>
      <c r="F126" s="396"/>
      <c r="G126" s="413"/>
      <c r="H126" s="391">
        <f ca="1">BIBLIOTECA.PERSONAL13[[#This Row],[Fecha Caducidad]]-$H$91</f>
        <v>-45198</v>
      </c>
    </row>
  </sheetData>
  <sheetProtection algorithmName="SHA-512" hashValue="t9ULp9kTjJUrqg0Y2AXXDkTC94xp3niWmdZuHAM+X9rTt3XAx97cx1plSccVkMeb10k5/Fa1kjOgReu8HC1kqQ==" saltValue="Y7BasNM7DvoWMUk+6jIwRQ==" spinCount="100000" sheet="1" formatCells="0" formatColumns="0"/>
  <dataConsolidate/>
  <mergeCells count="17">
    <mergeCell ref="B9:B10"/>
    <mergeCell ref="N10:R10"/>
    <mergeCell ref="B12:B20"/>
    <mergeCell ref="N37:R40"/>
    <mergeCell ref="C63:I63"/>
    <mergeCell ref="I13:J20"/>
    <mergeCell ref="K15:K16"/>
    <mergeCell ref="B22:D22"/>
    <mergeCell ref="C64:I64"/>
    <mergeCell ref="C76:D81"/>
    <mergeCell ref="N9:R9"/>
    <mergeCell ref="D8:F8"/>
    <mergeCell ref="N12:R19"/>
    <mergeCell ref="C20:F20"/>
    <mergeCell ref="N20:R20"/>
    <mergeCell ref="N25:R32"/>
    <mergeCell ref="N33:R36"/>
  </mergeCells>
  <phoneticPr fontId="17" type="noConversion"/>
  <dataValidations count="4">
    <dataValidation type="list" allowBlank="1" showInputMessage="1" showErrorMessage="1" sqref="E25:E61" xr:uid="{A6175A27-86BF-48E5-851A-2B3D50E0C047}">
      <formula1>"Material.Biblioteca.Minergie,Material.Biblioteca.Personal"</formula1>
    </dataValidation>
    <dataValidation type="list" allowBlank="1" showInputMessage="1" showErrorMessage="1" sqref="E15:E19" xr:uid="{92D7583E-359C-49E7-8BF7-1B9DD49F4267}">
      <formula1>INDIRECT($D$12)</formula1>
    </dataValidation>
    <dataValidation type="list" allowBlank="1" showInputMessage="1" showErrorMessage="1" sqref="F25" xr:uid="{A58D3E60-DECA-4DC9-98E9-6AF35AAA10D2}">
      <formula1>INDIRECT($E$25)</formula1>
    </dataValidation>
    <dataValidation type="list" allowBlank="1" showInputMessage="1" showErrorMessage="1" sqref="F26:F61" xr:uid="{5E84C841-4511-4D31-A835-C0AF5AC22390}">
      <formula1>INDIRECT($E26)</formula1>
    </dataValidation>
  </dataValidations>
  <hyperlinks>
    <hyperlink ref="N33:R36" location="'E1'!C84" display="Ir  a Biblioteca Personal DAP" xr:uid="{6DF0DCAF-9B31-496B-8D03-BD9DB51CB499}"/>
    <hyperlink ref="N20" location="'A7'!J87" display="Tabla Energético Personal" xr:uid="{259F08C7-2630-497C-84C5-1AEAFA93858F}"/>
    <hyperlink ref="K13" r:id="rId1" xr:uid="{EA365135-C183-4D39-9BA4-283B735F5917}"/>
    <hyperlink ref="K14" r:id="rId2" xr:uid="{8FAADBEE-19B7-4BF1-9A30-D5316FD37A8D}"/>
  </hyperlinks>
  <pageMargins left="0.7" right="0.7" top="0.98624999999999996" bottom="0.75" header="0.3" footer="0.3"/>
  <pageSetup paperSize="9" scale="56" orientation="landscape" r:id="rId3"/>
  <headerFooter>
    <oddHeader>&amp;L&amp;G</oddHeader>
    <oddFooter>&amp;L&amp;D&amp;R&amp;A</oddFooter>
  </headerFooter>
  <colBreaks count="1" manualBreakCount="1">
    <brk id="10" max="1048575" man="1"/>
  </colBreaks>
  <drawing r:id="rId4"/>
  <legacyDrawingHF r:id="rId5"/>
  <tableParts count="2">
    <tablePart r:id="rId6"/>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8B26EB7E-2953-4558-B8E8-40EB125B5FEE}">
          <x14:formula1>
            <xm:f>Datos_A7!$B$41:$C$41</xm:f>
          </x14:formula1>
          <xm:sqref>D12</xm:sqref>
        </x14:dataValidation>
        <x14:dataValidation type="list" allowBlank="1" showInputMessage="1" showErrorMessage="1" xr:uid="{E10C5DC5-EA84-491A-8373-86A06556B87E}">
          <x14:formula1>
            <xm:f>Datos_A7!$A$69:$A$71</xm:f>
          </x14:formula1>
          <xm:sqref>C25:C61</xm:sqref>
        </x14:dataValidation>
        <x14:dataValidation type="list" allowBlank="1" showInputMessage="1" showErrorMessage="1" xr:uid="{A7C5E09A-5394-4E99-BAD3-458B5D180E63}">
          <x14:formula1>
            <xm:f>Datos_A7!$B$69:$B$79</xm:f>
          </x14:formula1>
          <xm:sqref>D25:D61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0 1 4 B V 1 f v X q S k A A A A 9 g A A A B I A H A B D b 2 5 m a W c v U G F j a 2 F n Z S 5 4 b W w g o h g A K K A U A A A A A A A A A A A A A A A A A A A A A A A A A A A A h Y + 9 D o I w G E V f h X S n P 8 i g 5 K M M r J C Y m B j X p l R o h G J o s b y b g 4 / k K 4 h R 1 M 3 x n n u G e + / X G 2 R T 1 w Y X N V j d m x Q x T F G g j O w r b e o U j e 4 Y r l H G Y S v k S d Q q m G V j k 8 l W K W q c O y e E e O + x X + F + q E l E K S O H s t j J R n U C f W T 9 X w 6 1 s U 4 Y q R C H / W s M j z B j G x z T G F M g C 4 R S m 6 8 Q z X u f 7 Q + E f G z d O C i u b J g X Q J Y I 5 P 2 B P w B Q S w M E F A A C A A g A 0 1 4 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e A V c o i k e 4 D g A A A B E A A A A T A B w A R m 9 y b X V s Y X M v U 2 V j d G l v b j E u b S C i G A A o o B Q A A A A A A A A A A A A A A A A A A A A A A A A A A A A r T k 0 u y c z P U w i G 0 I b W A F B L A Q I t A B Q A A g A I A N N e A V d X 7 1 6 k p A A A A P Y A A A A S A A A A A A A A A A A A A A A A A A A A A A B D b 2 5 m a W c v U G F j a 2 F n Z S 5 4 b W x Q S w E C L Q A U A A I A C A D T X g F X D 8 r p q 6 Q A A A D p A A A A E w A A A A A A A A A A A A A A A A D w A A A A W 0 N v b n R l b n R f V H l w Z X N d L n h t b F B L A Q I t A B Q A A g A I A N N e 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R A j m q J I T e T o / 4 y Z z o I a k b A A A A A A I A A A A A A B B m A A A A A Q A A I A A A A G K 3 q k R S 5 K Z 4 E L p E E o 6 f N y 3 O A h v W Y 1 7 9 1 K 3 B w 2 P B m f V B A A A A A A 6 A A A A A A g A A I A A A A N N S 8 A A H 3 v i f 8 V s u B 1 I g 1 Q C 0 5 p D v C u P b + h 8 d W k y v t W V b U A A A A J z x 1 s 6 j t P d 9 b w J d A T L / 3 K 0 z M P u x y 5 2 m v o l D 5 I N f 2 h f 4 v 3 4 u j V s X 0 C c y 3 8 V s x U i Z r w o D w c b w S 0 G Q s K B 7 w 3 g N R J X D u G s D 7 R V v n K e + b d K t z J I 4 Q A A A A I E 4 2 J K b Y l n W g p f w U i H S 5 B X 3 x 9 Y i k J S G Q P F H Q Q b x 9 Y R q v 1 O i 1 1 U u k H h 5 h Y L 7 t W F D a L x w j h g 9 V w c + q I D Z l g i K M l 8 = < / 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28A4ACE1B3DD34C84169ED058FDB762" ma:contentTypeVersion="17" ma:contentTypeDescription="Ein neues Dokument erstellen." ma:contentTypeScope="" ma:versionID="170fd56e3f322e0c33e0fab2a983cef1">
  <xsd:schema xmlns:xsd="http://www.w3.org/2001/XMLSchema" xmlns:xs="http://www.w3.org/2001/XMLSchema" xmlns:p="http://schemas.microsoft.com/office/2006/metadata/properties" xmlns:ns2="765a7e56-e82e-4c5d-8526-7dc323457774" xmlns:ns3="7eba428e-dac3-49e2-b06e-8493c63c4b28" targetNamespace="http://schemas.microsoft.com/office/2006/metadata/properties" ma:root="true" ma:fieldsID="328c4cd819469d31d8b5e2cb60917201" ns2:_="" ns3:_="">
    <xsd:import namespace="765a7e56-e82e-4c5d-8526-7dc323457774"/>
    <xsd:import namespace="7eba428e-dac3-49e2-b06e-8493c63c4b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a7e56-e82e-4c5d-8526-7dc323457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ba428e-dac3-49e2-b06e-8493c63c4b2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d8cba2e-9461-47d7-a82e-3efeea30ea18}" ma:internalName="TaxCatchAll" ma:showField="CatchAllData" ma:web="7eba428e-dac3-49e2-b06e-8493c63c4b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eba428e-dac3-49e2-b06e-8493c63c4b28">
      <UserInfo>
        <DisplayName>Le Pape, Laure</DisplayName>
        <AccountId>25</AccountId>
        <AccountType/>
      </UserInfo>
      <UserInfo>
        <DisplayName>Jodar, Jose</DisplayName>
        <AccountId>55</AccountId>
        <AccountType/>
      </UserInfo>
      <UserInfo>
        <DisplayName>Gomez. Francisca</DisplayName>
        <AccountId>181</AccountId>
        <AccountType/>
      </UserInfo>
      <UserInfo>
        <DisplayName>Huincahue, Fabiana</DisplayName>
        <AccountId>291</AccountId>
        <AccountType/>
      </UserInfo>
      <UserInfo>
        <DisplayName>Arce, Pedro</DisplayName>
        <AccountId>265</AccountId>
        <AccountType/>
      </UserInfo>
      <UserInfo>
        <DisplayName>Morales, Franco</DisplayName>
        <AccountId>18</AccountId>
        <AccountType/>
      </UserInfo>
      <UserInfo>
        <DisplayName>Duarte, Julio</DisplayName>
        <AccountId>242</AccountId>
        <AccountType/>
      </UserInfo>
      <UserInfo>
        <DisplayName>Bobadilla, Monserrat</DisplayName>
        <AccountId>134</AccountId>
        <AccountType/>
      </UserInfo>
    </SharedWithUsers>
    <lcf76f155ced4ddcb4097134ff3c332f xmlns="765a7e56-e82e-4c5d-8526-7dc323457774">
      <Terms xmlns="http://schemas.microsoft.com/office/infopath/2007/PartnerControls"/>
    </lcf76f155ced4ddcb4097134ff3c332f>
    <TaxCatchAll xmlns="7eba428e-dac3-49e2-b06e-8493c63c4b28"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B40E4C-0745-47CD-9C60-5238E4DE1286}">
  <ds:schemaRefs>
    <ds:schemaRef ds:uri="http://schemas.microsoft.com/DataMashup"/>
  </ds:schemaRefs>
</ds:datastoreItem>
</file>

<file path=customXml/itemProps2.xml><?xml version="1.0" encoding="utf-8"?>
<ds:datastoreItem xmlns:ds="http://schemas.openxmlformats.org/officeDocument/2006/customXml" ds:itemID="{EDB56A60-3239-4CE9-B476-E947F29AF2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a7e56-e82e-4c5d-8526-7dc323457774"/>
    <ds:schemaRef ds:uri="7eba428e-dac3-49e2-b06e-8493c63c4b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CF71B3-EF78-4D82-9105-B7FCA88086AB}">
  <ds:schemaRefs>
    <ds:schemaRef ds:uri="http://schemas.microsoft.com/office/2006/metadata/properties"/>
    <ds:schemaRef ds:uri="http://schemas.microsoft.com/office/infopath/2007/PartnerControls"/>
    <ds:schemaRef ds:uri="7eba428e-dac3-49e2-b06e-8493c63c4b28"/>
    <ds:schemaRef ds:uri="765a7e56-e82e-4c5d-8526-7dc323457774"/>
  </ds:schemaRefs>
</ds:datastoreItem>
</file>

<file path=customXml/itemProps4.xml><?xml version="1.0" encoding="utf-8"?>
<ds:datastoreItem xmlns:ds="http://schemas.openxmlformats.org/officeDocument/2006/customXml" ds:itemID="{34ABBE9F-3B67-4CD0-9DA8-01B2BE39DF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37</vt:i4>
      </vt:variant>
    </vt:vector>
  </HeadingPairs>
  <TitlesOfParts>
    <vt:vector size="58" baseType="lpstr">
      <vt:lpstr>Intro</vt:lpstr>
      <vt:lpstr>A1</vt:lpstr>
      <vt:lpstr>A2</vt:lpstr>
      <vt:lpstr>A3</vt:lpstr>
      <vt:lpstr>A4</vt:lpstr>
      <vt:lpstr>A5</vt:lpstr>
      <vt:lpstr>Formula limites</vt:lpstr>
      <vt:lpstr>A6</vt:lpstr>
      <vt:lpstr>A7</vt:lpstr>
      <vt:lpstr>A7.a</vt:lpstr>
      <vt:lpstr>A7.b</vt:lpstr>
      <vt:lpstr>A8.b</vt:lpstr>
      <vt:lpstr>A9</vt:lpstr>
      <vt:lpstr>A9.a</vt:lpstr>
      <vt:lpstr>A9.b</vt:lpstr>
      <vt:lpstr>T2</vt:lpstr>
      <vt:lpstr>T6</vt:lpstr>
      <vt:lpstr>Paquetes_A4</vt:lpstr>
      <vt:lpstr>Datos_A7</vt:lpstr>
      <vt:lpstr>Datos 2</vt:lpstr>
      <vt:lpstr>DAP</vt:lpstr>
      <vt:lpstr>A9.a!A4_Datos.de.entrada</vt:lpstr>
      <vt:lpstr>A9.b!A4_Datos.de.entrada</vt:lpstr>
      <vt:lpstr>'T6'!A4_Datos.de.entrada</vt:lpstr>
      <vt:lpstr>A4_Datos.de.entrada</vt:lpstr>
      <vt:lpstr>A9.a!A4_Paquetes</vt:lpstr>
      <vt:lpstr>A9.b!A4_Paquetes</vt:lpstr>
      <vt:lpstr>'T6'!A4_Paquetes</vt:lpstr>
      <vt:lpstr>A4_Paquetes</vt:lpstr>
      <vt:lpstr>A9.a!A5Paquetes</vt:lpstr>
      <vt:lpstr>A9.b!A5Paquetes</vt:lpstr>
      <vt:lpstr>'T6'!A5Paquetes</vt:lpstr>
      <vt:lpstr>A5Paquetes</vt:lpstr>
      <vt:lpstr>A9.a!Biblioteca.Minergie_A4</vt:lpstr>
      <vt:lpstr>A9.b!Biblioteca.Minergie_A4</vt:lpstr>
      <vt:lpstr>'T6'!Biblioteca.Minergie_A4</vt:lpstr>
      <vt:lpstr>Biblioteca.Minergie_A4</vt:lpstr>
      <vt:lpstr>A9.a!Biblioteca.Personal.</vt:lpstr>
      <vt:lpstr>A9.b!Biblioteca.Personal.</vt:lpstr>
      <vt:lpstr>'T6'!Biblioteca.Personal.</vt:lpstr>
      <vt:lpstr>Biblioteca.Personal.</vt:lpstr>
      <vt:lpstr>A9.a!Biblioteca.Personal.A4</vt:lpstr>
      <vt:lpstr>A9.b!Biblioteca.Personal.A4</vt:lpstr>
      <vt:lpstr>'T6'!Biblioteca.Personal.A4</vt:lpstr>
      <vt:lpstr>Biblioteca.Personal.A4</vt:lpstr>
      <vt:lpstr>Mixto</vt:lpstr>
      <vt:lpstr>Otros.sistemas.</vt:lpstr>
      <vt:lpstr>'A4'!Print_Area</vt:lpstr>
      <vt:lpstr>'A6'!Print_Area</vt:lpstr>
      <vt:lpstr>'A7'!Print_Area</vt:lpstr>
      <vt:lpstr>A7.a!Print_Area</vt:lpstr>
      <vt:lpstr>'T2'!Print_Area</vt:lpstr>
      <vt:lpstr>'A7'!Print_Titles</vt:lpstr>
      <vt:lpstr>'A9'!Tipo.Energético.Minergie</vt:lpstr>
      <vt:lpstr>A9.a!Tipo.Energético.Minergie</vt:lpstr>
      <vt:lpstr>A9.b!Tipo.Energético.Minergie</vt:lpstr>
      <vt:lpstr>'T6'!Tipo.Energético.Minergie</vt:lpstr>
      <vt:lpstr>Tipo.Energético.Minergie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Bobadilla, Monserrat</cp:lastModifiedBy>
  <cp:revision/>
  <dcterms:created xsi:type="dcterms:W3CDTF">2022-02-01T20:06:33Z</dcterms:created>
  <dcterms:modified xsi:type="dcterms:W3CDTF">2023-09-29T16:06:17Z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0x010100528A4ACE1B3DD34C84169ED058FDB762</vt:lpwstr>
  </property>
  <property fmtid="{D5CDD505-2E9C-101B-9397-08002B2CF9AE}" pid="3" name="MediaServiceImageTags">
    <vt:lpwstr/>
  </property>
</Properties>
</file>